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6058d1a495d812b/Documents/Data Buat Yudisium/"/>
    </mc:Choice>
  </mc:AlternateContent>
  <xr:revisionPtr revIDLastSave="0" documentId="8_{13A57F99-13BB-4B94-B1C8-648932FD0E7F}" xr6:coauthVersionLast="47" xr6:coauthVersionMax="47" xr10:uidLastSave="{00000000-0000-0000-0000-000000000000}"/>
  <bookViews>
    <workbookView xWindow="-110" yWindow="-110" windowWidth="19420" windowHeight="10300" firstSheet="3" activeTab="8" xr2:uid="{D528AF9D-BD5F-4FFA-83E2-4E8117BB5F33}"/>
  </bookViews>
  <sheets>
    <sheet name="Uji Perlakuan Terbaik" sheetId="14" r:id="rId1"/>
    <sheet name="Viskositas" sheetId="3" r:id="rId2"/>
    <sheet name="TPT" sheetId="5" r:id="rId3"/>
    <sheet name="Total Asam" sheetId="1" r:id="rId4"/>
    <sheet name="pH" sheetId="2" r:id="rId5"/>
    <sheet name="Warna L" sheetId="6" r:id="rId6"/>
    <sheet name="a" sheetId="7" r:id="rId7"/>
    <sheet name="b" sheetId="8" r:id="rId8"/>
    <sheet name="TPC" sheetId="9" r:id="rId9"/>
    <sheet name="Warna" sheetId="11" r:id="rId10"/>
    <sheet name="Aroma" sheetId="10" r:id="rId11"/>
    <sheet name="Rasa" sheetId="13" r:id="rId12"/>
    <sheet name="Tekstur" sheetId="12" r:id="rId13"/>
  </sheets>
  <externalReferences>
    <externalReference r:id="rId1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3" i="12" l="1"/>
  <c r="V33" i="12"/>
  <c r="U33" i="12"/>
  <c r="T33" i="12"/>
  <c r="S33" i="12"/>
  <c r="R33" i="12"/>
  <c r="Q33" i="12"/>
  <c r="P33" i="12"/>
  <c r="O33" i="12"/>
  <c r="W32" i="12"/>
  <c r="V32" i="12"/>
  <c r="U32" i="12"/>
  <c r="T32" i="12"/>
  <c r="S32" i="12"/>
  <c r="R32" i="12"/>
  <c r="Q32" i="12"/>
  <c r="P32" i="12"/>
  <c r="O32" i="12"/>
  <c r="Y31" i="12"/>
  <c r="X31" i="12"/>
  <c r="Y30" i="12"/>
  <c r="X30" i="12"/>
  <c r="Y29" i="12"/>
  <c r="X29" i="12"/>
  <c r="Y28" i="12"/>
  <c r="X28" i="12"/>
  <c r="Y27" i="12"/>
  <c r="X27" i="12"/>
  <c r="Y26" i="12"/>
  <c r="X26" i="12"/>
  <c r="Y25" i="12"/>
  <c r="X25" i="12"/>
  <c r="Y24" i="12"/>
  <c r="X24" i="12"/>
  <c r="Y23" i="12"/>
  <c r="X23" i="12"/>
  <c r="Y22" i="12"/>
  <c r="X22" i="12"/>
  <c r="Y21" i="12"/>
  <c r="X21" i="12"/>
  <c r="Y20" i="12"/>
  <c r="X20" i="12"/>
  <c r="Y19" i="12"/>
  <c r="X19" i="12"/>
  <c r="Y18" i="12"/>
  <c r="X18" i="12"/>
  <c r="Y17" i="12"/>
  <c r="X17" i="12"/>
  <c r="Y16" i="12"/>
  <c r="X16" i="12"/>
  <c r="Y15" i="12"/>
  <c r="X15" i="12"/>
  <c r="Y14" i="12"/>
  <c r="X14" i="12"/>
  <c r="Y13" i="12"/>
  <c r="X13" i="12"/>
  <c r="Y12" i="12"/>
  <c r="X12" i="12"/>
  <c r="Y11" i="12"/>
  <c r="X11" i="12"/>
  <c r="Y10" i="12"/>
  <c r="X10" i="12"/>
  <c r="Y9" i="12"/>
  <c r="X9" i="12"/>
  <c r="Y8" i="12"/>
  <c r="X8" i="12"/>
  <c r="Y7" i="12"/>
  <c r="X7" i="12"/>
  <c r="Y6" i="12"/>
  <c r="X6" i="12"/>
  <c r="Y5" i="12"/>
  <c r="X5" i="12"/>
  <c r="Y4" i="12"/>
  <c r="X4" i="12"/>
  <c r="Y3" i="12"/>
  <c r="X3" i="12"/>
  <c r="Y2" i="12"/>
  <c r="X2" i="12"/>
  <c r="X32" i="12" s="1"/>
  <c r="W33" i="13"/>
  <c r="V33" i="13"/>
  <c r="U33" i="13"/>
  <c r="T33" i="13"/>
  <c r="S33" i="13"/>
  <c r="R33" i="13"/>
  <c r="Q33" i="13"/>
  <c r="P33" i="13"/>
  <c r="O33" i="13"/>
  <c r="W32" i="13"/>
  <c r="V32" i="13"/>
  <c r="U32" i="13"/>
  <c r="T32" i="13"/>
  <c r="S32" i="13"/>
  <c r="R32" i="13"/>
  <c r="Q32" i="13"/>
  <c r="P32" i="13"/>
  <c r="O32" i="13"/>
  <c r="Y31" i="13"/>
  <c r="X31" i="13"/>
  <c r="Y30" i="13"/>
  <c r="X30" i="13"/>
  <c r="Y29" i="13"/>
  <c r="X29" i="13"/>
  <c r="Y28" i="13"/>
  <c r="X28" i="13"/>
  <c r="Y27" i="13"/>
  <c r="X27" i="13"/>
  <c r="Y26" i="13"/>
  <c r="X26" i="13"/>
  <c r="Y25" i="13"/>
  <c r="X25" i="13"/>
  <c r="Y24" i="13"/>
  <c r="X24" i="13"/>
  <c r="Y23" i="13"/>
  <c r="X23" i="13"/>
  <c r="Y22" i="13"/>
  <c r="X22" i="13"/>
  <c r="Y21" i="13"/>
  <c r="X21" i="13"/>
  <c r="Y20" i="13"/>
  <c r="X20" i="13"/>
  <c r="Y19" i="13"/>
  <c r="X19" i="13"/>
  <c r="Y18" i="13"/>
  <c r="X18" i="13"/>
  <c r="Y17" i="13"/>
  <c r="X17" i="13"/>
  <c r="Y16" i="13"/>
  <c r="X16" i="13"/>
  <c r="Y15" i="13"/>
  <c r="X15" i="13"/>
  <c r="Y14" i="13"/>
  <c r="X14" i="13"/>
  <c r="Y13" i="13"/>
  <c r="X13" i="13"/>
  <c r="Y12" i="13"/>
  <c r="X12" i="13"/>
  <c r="Y11" i="13"/>
  <c r="X11" i="13"/>
  <c r="Y10" i="13"/>
  <c r="X10" i="13"/>
  <c r="Y9" i="13"/>
  <c r="X9" i="13"/>
  <c r="Y8" i="13"/>
  <c r="X8" i="13"/>
  <c r="Y7" i="13"/>
  <c r="X7" i="13"/>
  <c r="Y6" i="13"/>
  <c r="X6" i="13"/>
  <c r="Y5" i="13"/>
  <c r="X5" i="13"/>
  <c r="Y4" i="13"/>
  <c r="X4" i="13"/>
  <c r="Y3" i="13"/>
  <c r="X3" i="13"/>
  <c r="Y2" i="13"/>
  <c r="X2" i="13"/>
  <c r="X32" i="13" s="1"/>
  <c r="W33" i="10"/>
  <c r="V33" i="10"/>
  <c r="U33" i="10"/>
  <c r="T33" i="10"/>
  <c r="S33" i="10"/>
  <c r="R33" i="10"/>
  <c r="Q33" i="10"/>
  <c r="P33" i="10"/>
  <c r="O33" i="10"/>
  <c r="W32" i="10"/>
  <c r="V32" i="10"/>
  <c r="U32" i="10"/>
  <c r="T32" i="10"/>
  <c r="S32" i="10"/>
  <c r="R32" i="10"/>
  <c r="Q32" i="10"/>
  <c r="P32" i="10"/>
  <c r="O32" i="10"/>
  <c r="Y31" i="10"/>
  <c r="X31" i="10"/>
  <c r="Y30" i="10"/>
  <c r="X30" i="10"/>
  <c r="Y29" i="10"/>
  <c r="X29" i="10"/>
  <c r="Y28" i="10"/>
  <c r="X28" i="10"/>
  <c r="Y27" i="10"/>
  <c r="X27" i="10"/>
  <c r="Y26" i="10"/>
  <c r="X26" i="10"/>
  <c r="Y25" i="10"/>
  <c r="X25" i="10"/>
  <c r="Y24" i="10"/>
  <c r="X24" i="10"/>
  <c r="Y23" i="10"/>
  <c r="X23" i="10"/>
  <c r="Y22" i="10"/>
  <c r="X22" i="10"/>
  <c r="Y21" i="10"/>
  <c r="X21" i="10"/>
  <c r="Y20" i="10"/>
  <c r="X20" i="10"/>
  <c r="Y19" i="10"/>
  <c r="X19" i="10"/>
  <c r="Y18" i="10"/>
  <c r="X18" i="10"/>
  <c r="Y17" i="10"/>
  <c r="X17" i="10"/>
  <c r="Y16" i="10"/>
  <c r="X16" i="10"/>
  <c r="Y15" i="10"/>
  <c r="X15" i="10"/>
  <c r="Y14" i="10"/>
  <c r="X14" i="10"/>
  <c r="Y13" i="10"/>
  <c r="X13" i="10"/>
  <c r="Y12" i="10"/>
  <c r="X12" i="10"/>
  <c r="Y11" i="10"/>
  <c r="X11" i="10"/>
  <c r="Y10" i="10"/>
  <c r="X10" i="10"/>
  <c r="Y9" i="10"/>
  <c r="X9" i="10"/>
  <c r="Y8" i="10"/>
  <c r="X8" i="10"/>
  <c r="Y7" i="10"/>
  <c r="X7" i="10"/>
  <c r="Y6" i="10"/>
  <c r="X6" i="10"/>
  <c r="Y5" i="10"/>
  <c r="X5" i="10"/>
  <c r="Y4" i="10"/>
  <c r="X4" i="10"/>
  <c r="Y3" i="10"/>
  <c r="X3" i="10"/>
  <c r="Y2" i="10"/>
  <c r="X2" i="10"/>
  <c r="X32" i="10" s="1"/>
  <c r="W33" i="11"/>
  <c r="V33" i="11"/>
  <c r="U33" i="11"/>
  <c r="T33" i="11"/>
  <c r="S33" i="11"/>
  <c r="R33" i="11"/>
  <c r="Q33" i="11"/>
  <c r="P33" i="11"/>
  <c r="O33" i="11"/>
  <c r="W32" i="11"/>
  <c r="V32" i="11"/>
  <c r="U32" i="11"/>
  <c r="T32" i="11"/>
  <c r="S32" i="11"/>
  <c r="R32" i="11"/>
  <c r="Q32" i="11"/>
  <c r="P32" i="11"/>
  <c r="O32" i="11"/>
  <c r="Y31" i="11"/>
  <c r="X31" i="11"/>
  <c r="Y30" i="11"/>
  <c r="X30" i="11"/>
  <c r="Y29" i="11"/>
  <c r="X29" i="11"/>
  <c r="Y28" i="11"/>
  <c r="X28" i="11"/>
  <c r="Y27" i="11"/>
  <c r="X27" i="11"/>
  <c r="Y26" i="11"/>
  <c r="X26" i="11"/>
  <c r="Y25" i="11"/>
  <c r="X25" i="11"/>
  <c r="Y24" i="11"/>
  <c r="X24" i="11"/>
  <c r="Y23" i="11"/>
  <c r="X23" i="11"/>
  <c r="Y22" i="11"/>
  <c r="X22" i="11"/>
  <c r="Y21" i="11"/>
  <c r="X21" i="11"/>
  <c r="Y20" i="11"/>
  <c r="X20" i="11"/>
  <c r="Y19" i="11"/>
  <c r="X19" i="11"/>
  <c r="Y18" i="11"/>
  <c r="X18" i="11"/>
  <c r="Y17" i="11"/>
  <c r="X17" i="11"/>
  <c r="Y16" i="11"/>
  <c r="X16" i="11"/>
  <c r="Y15" i="11"/>
  <c r="X15" i="11"/>
  <c r="Y14" i="11"/>
  <c r="X14" i="11"/>
  <c r="Y13" i="11"/>
  <c r="X13" i="11"/>
  <c r="Y12" i="11"/>
  <c r="X12" i="11"/>
  <c r="Y11" i="11"/>
  <c r="X11" i="11"/>
  <c r="Y10" i="11"/>
  <c r="X10" i="11"/>
  <c r="Y9" i="11"/>
  <c r="X9" i="11"/>
  <c r="Y8" i="11"/>
  <c r="X8" i="11"/>
  <c r="Y7" i="11"/>
  <c r="X7" i="11"/>
  <c r="Y6" i="11"/>
  <c r="X6" i="11"/>
  <c r="Y5" i="11"/>
  <c r="X5" i="11"/>
  <c r="Y4" i="11"/>
  <c r="X4" i="11"/>
  <c r="Y3" i="11"/>
  <c r="X3" i="11"/>
  <c r="Y2" i="11"/>
  <c r="X2" i="11"/>
  <c r="X32" i="11" s="1"/>
  <c r="F38" i="10" l="1"/>
  <c r="F38" i="11"/>
  <c r="F40" i="10" l="1"/>
  <c r="U45" i="13"/>
  <c r="I40" i="1"/>
  <c r="G38" i="12" l="1"/>
  <c r="G40" i="12" s="1"/>
  <c r="G39" i="12"/>
  <c r="G38" i="13"/>
  <c r="G40" i="13" s="1"/>
  <c r="G39" i="13"/>
  <c r="F39" i="10"/>
  <c r="F39" i="11"/>
  <c r="V16" i="8"/>
  <c r="R12" i="8"/>
  <c r="S12" i="8"/>
  <c r="V12" i="8"/>
  <c r="W12" i="8"/>
  <c r="V13" i="8"/>
  <c r="W13" i="8"/>
  <c r="V14" i="8"/>
  <c r="W14" i="8"/>
  <c r="W20" i="9"/>
  <c r="V20" i="9"/>
  <c r="U20" i="9"/>
  <c r="W19" i="9"/>
  <c r="V19" i="9"/>
  <c r="U19" i="9"/>
  <c r="W18" i="9"/>
  <c r="X18" i="9" s="1"/>
  <c r="Y18" i="9" s="1"/>
  <c r="V18" i="9"/>
  <c r="U18" i="9"/>
  <c r="R18" i="9"/>
  <c r="Q18" i="9"/>
  <c r="Z18" i="9" s="1"/>
  <c r="W17" i="9"/>
  <c r="V17" i="9"/>
  <c r="U17" i="9"/>
  <c r="W16" i="9"/>
  <c r="V16" i="9"/>
  <c r="U16" i="9"/>
  <c r="W15" i="9"/>
  <c r="V15" i="9"/>
  <c r="U15" i="9"/>
  <c r="R15" i="9"/>
  <c r="Q15" i="9"/>
  <c r="Z15" i="9" s="1"/>
  <c r="W14" i="9"/>
  <c r="V14" i="9"/>
  <c r="U14" i="9"/>
  <c r="W13" i="9"/>
  <c r="V13" i="9"/>
  <c r="U13" i="9"/>
  <c r="W12" i="9"/>
  <c r="V12" i="9"/>
  <c r="U12" i="9"/>
  <c r="R12" i="9"/>
  <c r="Q12" i="9"/>
  <c r="Z12" i="9" s="1"/>
  <c r="W11" i="9"/>
  <c r="V11" i="9"/>
  <c r="U11" i="9"/>
  <c r="W10" i="9"/>
  <c r="V10" i="9"/>
  <c r="U10" i="9"/>
  <c r="W9" i="9"/>
  <c r="V9" i="9"/>
  <c r="U9" i="9"/>
  <c r="X9" i="9" s="1"/>
  <c r="Y9" i="9" s="1"/>
  <c r="R9" i="9"/>
  <c r="Q9" i="9"/>
  <c r="Z9" i="9" s="1"/>
  <c r="W8" i="9"/>
  <c r="V8" i="9"/>
  <c r="U8" i="9"/>
  <c r="W7" i="9"/>
  <c r="V7" i="9"/>
  <c r="U7" i="9"/>
  <c r="W6" i="9"/>
  <c r="V6" i="9"/>
  <c r="U6" i="9"/>
  <c r="R6" i="9"/>
  <c r="Q6" i="9"/>
  <c r="Z6" i="9" s="1"/>
  <c r="W5" i="9"/>
  <c r="V5" i="9"/>
  <c r="U5" i="9"/>
  <c r="W4" i="9"/>
  <c r="V4" i="9"/>
  <c r="U4" i="9"/>
  <c r="W3" i="9"/>
  <c r="V3" i="9"/>
  <c r="U3" i="9"/>
  <c r="R3" i="9"/>
  <c r="Q3" i="9"/>
  <c r="Z3" i="9" s="1"/>
  <c r="Q47" i="10"/>
  <c r="R47" i="13"/>
  <c r="Q49" i="10"/>
  <c r="Q48" i="10"/>
  <c r="X38" i="10"/>
  <c r="X37" i="10"/>
  <c r="X36" i="10"/>
  <c r="X6" i="9" l="1"/>
  <c r="Y6" i="9" s="1"/>
  <c r="X12" i="9"/>
  <c r="Y12" i="9" s="1"/>
  <c r="AA12" i="9" s="1"/>
  <c r="AB12" i="9" s="1"/>
  <c r="AC12" i="9" s="1"/>
  <c r="AD12" i="9" s="1"/>
  <c r="AE12" i="9" s="1"/>
  <c r="X15" i="9"/>
  <c r="Y15" i="9" s="1"/>
  <c r="AA15" i="9" s="1"/>
  <c r="AB15" i="9" s="1"/>
  <c r="AC15" i="9" s="1"/>
  <c r="AD15" i="9" s="1"/>
  <c r="AE15" i="9" s="1"/>
  <c r="AA9" i="9"/>
  <c r="AB9" i="9" s="1"/>
  <c r="AC9" i="9" s="1"/>
  <c r="AD9" i="9" s="1"/>
  <c r="AE9" i="9" s="1"/>
  <c r="X3" i="9"/>
  <c r="Y3" i="9" s="1"/>
  <c r="AA3" i="9" s="1"/>
  <c r="AB3" i="9" s="1"/>
  <c r="AC3" i="9" s="1"/>
  <c r="AD3" i="9" s="1"/>
  <c r="AE3" i="9" s="1"/>
  <c r="AA6" i="9"/>
  <c r="AB6" i="9" s="1"/>
  <c r="AC6" i="9" s="1"/>
  <c r="AD6" i="9" s="1"/>
  <c r="AE6" i="9" s="1"/>
  <c r="AA18" i="9"/>
  <c r="AB18" i="9" s="1"/>
  <c r="AC18" i="9" s="1"/>
  <c r="AD18" i="9" s="1"/>
  <c r="AE18" i="9" s="1"/>
  <c r="H54" i="2" l="1"/>
  <c r="G54" i="2"/>
  <c r="X37" i="11" l="1"/>
  <c r="U36" i="10"/>
  <c r="X44" i="11"/>
  <c r="E38" i="14" l="1"/>
  <c r="L4" i="2"/>
  <c r="L5" i="2"/>
  <c r="L6" i="2"/>
  <c r="L7" i="2"/>
  <c r="L8" i="2"/>
  <c r="L9" i="2"/>
  <c r="L10" i="2"/>
  <c r="L11" i="2"/>
  <c r="L3" i="2"/>
  <c r="N3" i="1"/>
  <c r="X20" i="3"/>
  <c r="W20" i="3"/>
  <c r="V20" i="3"/>
  <c r="X19" i="3"/>
  <c r="W19" i="3"/>
  <c r="V19" i="3"/>
  <c r="X18" i="3"/>
  <c r="W18" i="3"/>
  <c r="V18" i="3"/>
  <c r="S18" i="3"/>
  <c r="R18" i="3"/>
  <c r="AA18" i="3" s="1"/>
  <c r="X17" i="3"/>
  <c r="W17" i="3"/>
  <c r="V17" i="3"/>
  <c r="X16" i="3"/>
  <c r="W16" i="3"/>
  <c r="V16" i="3"/>
  <c r="X15" i="3"/>
  <c r="W15" i="3"/>
  <c r="V15" i="3"/>
  <c r="S15" i="3"/>
  <c r="R15" i="3"/>
  <c r="AA15" i="3" s="1"/>
  <c r="X14" i="3"/>
  <c r="W14" i="3"/>
  <c r="V14" i="3"/>
  <c r="X13" i="3"/>
  <c r="W13" i="3"/>
  <c r="V13" i="3"/>
  <c r="X12" i="3"/>
  <c r="Y12" i="3" s="1"/>
  <c r="Z12" i="3" s="1"/>
  <c r="W12" i="3"/>
  <c r="V12" i="3"/>
  <c r="S12" i="3"/>
  <c r="R12" i="3"/>
  <c r="AA12" i="3" s="1"/>
  <c r="X11" i="3"/>
  <c r="W11" i="3"/>
  <c r="V11" i="3"/>
  <c r="X10" i="3"/>
  <c r="W10" i="3"/>
  <c r="V10" i="3"/>
  <c r="X9" i="3"/>
  <c r="W9" i="3"/>
  <c r="V9" i="3"/>
  <c r="S9" i="3"/>
  <c r="R9" i="3"/>
  <c r="AA9" i="3" s="1"/>
  <c r="X8" i="3"/>
  <c r="W8" i="3"/>
  <c r="V8" i="3"/>
  <c r="X7" i="3"/>
  <c r="W7" i="3"/>
  <c r="V7" i="3"/>
  <c r="X6" i="3"/>
  <c r="W6" i="3"/>
  <c r="V6" i="3"/>
  <c r="S6" i="3"/>
  <c r="R6" i="3"/>
  <c r="AA6" i="3" s="1"/>
  <c r="X5" i="3"/>
  <c r="W5" i="3"/>
  <c r="V5" i="3"/>
  <c r="X4" i="3"/>
  <c r="W4" i="3"/>
  <c r="V4" i="3"/>
  <c r="X3" i="3"/>
  <c r="W3" i="3"/>
  <c r="V3" i="3"/>
  <c r="S3" i="3"/>
  <c r="R3" i="3"/>
  <c r="AA3" i="3" s="1"/>
  <c r="X20" i="5"/>
  <c r="W20" i="5"/>
  <c r="V20" i="5"/>
  <c r="X19" i="5"/>
  <c r="W19" i="5"/>
  <c r="V19" i="5"/>
  <c r="X18" i="5"/>
  <c r="W18" i="5"/>
  <c r="V18" i="5"/>
  <c r="S18" i="5"/>
  <c r="R18" i="5"/>
  <c r="AA18" i="5" s="1"/>
  <c r="X17" i="5"/>
  <c r="W17" i="5"/>
  <c r="V17" i="5"/>
  <c r="X16" i="5"/>
  <c r="W16" i="5"/>
  <c r="V16" i="5"/>
  <c r="X15" i="5"/>
  <c r="W15" i="5"/>
  <c r="V15" i="5"/>
  <c r="S15" i="5"/>
  <c r="R15" i="5"/>
  <c r="AA15" i="5" s="1"/>
  <c r="X14" i="5"/>
  <c r="W14" i="5"/>
  <c r="V14" i="5"/>
  <c r="X13" i="5"/>
  <c r="W13" i="5"/>
  <c r="V13" i="5"/>
  <c r="X12" i="5"/>
  <c r="Y12" i="5" s="1"/>
  <c r="Z12" i="5" s="1"/>
  <c r="AB12" i="5" s="1"/>
  <c r="AC12" i="5" s="1"/>
  <c r="AD12" i="5" s="1"/>
  <c r="AE12" i="5" s="1"/>
  <c r="W12" i="5"/>
  <c r="V12" i="5"/>
  <c r="S12" i="5"/>
  <c r="R12" i="5"/>
  <c r="AA12" i="5" s="1"/>
  <c r="X11" i="5"/>
  <c r="W11" i="5"/>
  <c r="V11" i="5"/>
  <c r="X10" i="5"/>
  <c r="W10" i="5"/>
  <c r="V10" i="5"/>
  <c r="X9" i="5"/>
  <c r="W9" i="5"/>
  <c r="V9" i="5"/>
  <c r="S9" i="5"/>
  <c r="R9" i="5"/>
  <c r="AA9" i="5" s="1"/>
  <c r="X8" i="5"/>
  <c r="W8" i="5"/>
  <c r="V8" i="5"/>
  <c r="X7" i="5"/>
  <c r="W7" i="5"/>
  <c r="V7" i="5"/>
  <c r="X6" i="5"/>
  <c r="W6" i="5"/>
  <c r="V6" i="5"/>
  <c r="S6" i="5"/>
  <c r="R6" i="5"/>
  <c r="AA6" i="5" s="1"/>
  <c r="X5" i="5"/>
  <c r="W5" i="5"/>
  <c r="V5" i="5"/>
  <c r="X4" i="5"/>
  <c r="W4" i="5"/>
  <c r="V4" i="5"/>
  <c r="X3" i="5"/>
  <c r="W3" i="5"/>
  <c r="V3" i="5"/>
  <c r="S3" i="5"/>
  <c r="R3" i="5"/>
  <c r="AA3" i="5" s="1"/>
  <c r="X20" i="6"/>
  <c r="W20" i="6"/>
  <c r="V20" i="6"/>
  <c r="X19" i="6"/>
  <c r="W19" i="6"/>
  <c r="V19" i="6"/>
  <c r="X18" i="6"/>
  <c r="W18" i="6"/>
  <c r="V18" i="6"/>
  <c r="S18" i="6"/>
  <c r="R18" i="6"/>
  <c r="AA18" i="6" s="1"/>
  <c r="X17" i="6"/>
  <c r="W17" i="6"/>
  <c r="V17" i="6"/>
  <c r="X16" i="6"/>
  <c r="W16" i="6"/>
  <c r="V16" i="6"/>
  <c r="X15" i="6"/>
  <c r="W15" i="6"/>
  <c r="V15" i="6"/>
  <c r="S15" i="6"/>
  <c r="R15" i="6"/>
  <c r="AA15" i="6" s="1"/>
  <c r="X14" i="6"/>
  <c r="W14" i="6"/>
  <c r="V14" i="6"/>
  <c r="X13" i="6"/>
  <c r="W13" i="6"/>
  <c r="V13" i="6"/>
  <c r="X12" i="6"/>
  <c r="Y12" i="6" s="1"/>
  <c r="Z12" i="6" s="1"/>
  <c r="W12" i="6"/>
  <c r="V12" i="6"/>
  <c r="S12" i="6"/>
  <c r="R12" i="6"/>
  <c r="AA12" i="6" s="1"/>
  <c r="X11" i="6"/>
  <c r="W11" i="6"/>
  <c r="V11" i="6"/>
  <c r="X10" i="6"/>
  <c r="W10" i="6"/>
  <c r="V10" i="6"/>
  <c r="X9" i="6"/>
  <c r="W9" i="6"/>
  <c r="V9" i="6"/>
  <c r="S9" i="6"/>
  <c r="R9" i="6"/>
  <c r="AA9" i="6" s="1"/>
  <c r="X8" i="6"/>
  <c r="W8" i="6"/>
  <c r="V8" i="6"/>
  <c r="X7" i="6"/>
  <c r="W7" i="6"/>
  <c r="V7" i="6"/>
  <c r="X6" i="6"/>
  <c r="W6" i="6"/>
  <c r="V6" i="6"/>
  <c r="S6" i="6"/>
  <c r="R6" i="6"/>
  <c r="AA6" i="6" s="1"/>
  <c r="X5" i="6"/>
  <c r="W5" i="6"/>
  <c r="V5" i="6"/>
  <c r="X4" i="6"/>
  <c r="W4" i="6"/>
  <c r="V4" i="6"/>
  <c r="X3" i="6"/>
  <c r="W3" i="6"/>
  <c r="V3" i="6"/>
  <c r="S3" i="6"/>
  <c r="R3" i="6"/>
  <c r="AA3" i="6" s="1"/>
  <c r="X20" i="7"/>
  <c r="W20" i="7"/>
  <c r="V20" i="7"/>
  <c r="X19" i="7"/>
  <c r="W19" i="7"/>
  <c r="V19" i="7"/>
  <c r="X18" i="7"/>
  <c r="W18" i="7"/>
  <c r="V18" i="7"/>
  <c r="S18" i="7"/>
  <c r="R18" i="7"/>
  <c r="AA18" i="7" s="1"/>
  <c r="X17" i="7"/>
  <c r="W17" i="7"/>
  <c r="V17" i="7"/>
  <c r="X16" i="7"/>
  <c r="W16" i="7"/>
  <c r="V16" i="7"/>
  <c r="X15" i="7"/>
  <c r="W15" i="7"/>
  <c r="V15" i="7"/>
  <c r="S15" i="7"/>
  <c r="R15" i="7"/>
  <c r="AA15" i="7" s="1"/>
  <c r="X14" i="7"/>
  <c r="W14" i="7"/>
  <c r="V14" i="7"/>
  <c r="X13" i="7"/>
  <c r="W13" i="7"/>
  <c r="V13" i="7"/>
  <c r="X12" i="7"/>
  <c r="W12" i="7"/>
  <c r="V12" i="7"/>
  <c r="S12" i="7"/>
  <c r="R12" i="7"/>
  <c r="AA12" i="7" s="1"/>
  <c r="X11" i="7"/>
  <c r="W11" i="7"/>
  <c r="V11" i="7"/>
  <c r="X10" i="7"/>
  <c r="W10" i="7"/>
  <c r="V10" i="7"/>
  <c r="X9" i="7"/>
  <c r="W9" i="7"/>
  <c r="V9" i="7"/>
  <c r="S9" i="7"/>
  <c r="R9" i="7"/>
  <c r="AA9" i="7" s="1"/>
  <c r="X8" i="7"/>
  <c r="W8" i="7"/>
  <c r="V8" i="7"/>
  <c r="X7" i="7"/>
  <c r="W7" i="7"/>
  <c r="V7" i="7"/>
  <c r="X6" i="7"/>
  <c r="W6" i="7"/>
  <c r="V6" i="7"/>
  <c r="S6" i="7"/>
  <c r="R6" i="7"/>
  <c r="AA6" i="7" s="1"/>
  <c r="X5" i="7"/>
  <c r="W5" i="7"/>
  <c r="V5" i="7"/>
  <c r="X4" i="7"/>
  <c r="W4" i="7"/>
  <c r="V4" i="7"/>
  <c r="X3" i="7"/>
  <c r="W3" i="7"/>
  <c r="V3" i="7"/>
  <c r="S3" i="7"/>
  <c r="R3" i="7"/>
  <c r="AA3" i="7" s="1"/>
  <c r="G3" i="8"/>
  <c r="H3" i="8"/>
  <c r="I3" i="8"/>
  <c r="G4" i="8"/>
  <c r="H4" i="8"/>
  <c r="I4" i="8"/>
  <c r="G5" i="8"/>
  <c r="H5" i="8"/>
  <c r="I5" i="8"/>
  <c r="G6" i="8"/>
  <c r="H6" i="8"/>
  <c r="I6" i="8"/>
  <c r="G7" i="8"/>
  <c r="H7" i="8"/>
  <c r="I7" i="8"/>
  <c r="G8" i="8"/>
  <c r="H8" i="8"/>
  <c r="I8" i="8"/>
  <c r="G9" i="8"/>
  <c r="H9" i="8"/>
  <c r="I9" i="8"/>
  <c r="G10" i="8"/>
  <c r="H10" i="8"/>
  <c r="I10" i="8"/>
  <c r="G11" i="8"/>
  <c r="H11" i="8"/>
  <c r="I11" i="8"/>
  <c r="X20" i="8"/>
  <c r="W20" i="8"/>
  <c r="V20" i="8"/>
  <c r="X19" i="8"/>
  <c r="W19" i="8"/>
  <c r="V19" i="8"/>
  <c r="X18" i="8"/>
  <c r="W18" i="8"/>
  <c r="V18" i="8"/>
  <c r="S18" i="8"/>
  <c r="R18" i="8"/>
  <c r="AA18" i="8" s="1"/>
  <c r="X17" i="8"/>
  <c r="W17" i="8"/>
  <c r="V17" i="8"/>
  <c r="X16" i="8"/>
  <c r="W16" i="8"/>
  <c r="X15" i="8"/>
  <c r="W15" i="8"/>
  <c r="V15" i="8"/>
  <c r="S15" i="8"/>
  <c r="R15" i="8"/>
  <c r="AA15" i="8" s="1"/>
  <c r="X14" i="8"/>
  <c r="X13" i="8"/>
  <c r="X12" i="8"/>
  <c r="AA12" i="8"/>
  <c r="X11" i="8"/>
  <c r="W11" i="8"/>
  <c r="V11" i="8"/>
  <c r="X10" i="8"/>
  <c r="W10" i="8"/>
  <c r="V10" i="8"/>
  <c r="X9" i="8"/>
  <c r="W9" i="8"/>
  <c r="V9" i="8"/>
  <c r="S9" i="8"/>
  <c r="R9" i="8"/>
  <c r="AA9" i="8" s="1"/>
  <c r="X8" i="8"/>
  <c r="W8" i="8"/>
  <c r="V8" i="8"/>
  <c r="X7" i="8"/>
  <c r="W7" i="8"/>
  <c r="V7" i="8"/>
  <c r="X6" i="8"/>
  <c r="W6" i="8"/>
  <c r="V6" i="8"/>
  <c r="S6" i="8"/>
  <c r="R6" i="8"/>
  <c r="AA6" i="8" s="1"/>
  <c r="X5" i="8"/>
  <c r="W5" i="8"/>
  <c r="V5" i="8"/>
  <c r="X4" i="8"/>
  <c r="W4" i="8"/>
  <c r="V4" i="8"/>
  <c r="X3" i="8"/>
  <c r="W3" i="8"/>
  <c r="V3" i="8"/>
  <c r="S3" i="8"/>
  <c r="R3" i="8"/>
  <c r="AA3" i="8" s="1"/>
  <c r="AB12" i="3" l="1"/>
  <c r="AC12" i="3" s="1"/>
  <c r="AD12" i="3" s="1"/>
  <c r="AE12" i="3" s="1"/>
  <c r="AF12" i="3" s="1"/>
  <c r="Y9" i="3"/>
  <c r="Z9" i="3" s="1"/>
  <c r="AB9" i="3" s="1"/>
  <c r="AC9" i="3" s="1"/>
  <c r="AD9" i="3" s="1"/>
  <c r="AE9" i="3" s="1"/>
  <c r="AF9" i="3" s="1"/>
  <c r="Y6" i="3"/>
  <c r="Z6" i="3" s="1"/>
  <c r="AB6" i="3" s="1"/>
  <c r="AC6" i="3" s="1"/>
  <c r="AD6" i="3" s="1"/>
  <c r="AE6" i="3" s="1"/>
  <c r="AF6" i="3" s="1"/>
  <c r="Y3" i="3"/>
  <c r="Z3" i="3" s="1"/>
  <c r="AB3" i="3" s="1"/>
  <c r="AC3" i="3" s="1"/>
  <c r="AD3" i="3" s="1"/>
  <c r="AE3" i="3" s="1"/>
  <c r="AF3" i="3" s="1"/>
  <c r="Y15" i="3"/>
  <c r="Z15" i="3" s="1"/>
  <c r="AB15" i="3" s="1"/>
  <c r="AC15" i="3" s="1"/>
  <c r="AD15" i="3" s="1"/>
  <c r="AE15" i="3" s="1"/>
  <c r="AF15" i="3" s="1"/>
  <c r="Y18" i="3"/>
  <c r="Z18" i="3" s="1"/>
  <c r="AB18" i="3" s="1"/>
  <c r="AC18" i="3" s="1"/>
  <c r="AD18" i="3" s="1"/>
  <c r="AE18" i="3" s="1"/>
  <c r="AF18" i="3" s="1"/>
  <c r="Y9" i="5"/>
  <c r="Z9" i="5" s="1"/>
  <c r="AB9" i="5" s="1"/>
  <c r="AC9" i="5" s="1"/>
  <c r="AD9" i="5" s="1"/>
  <c r="AE9" i="5" s="1"/>
  <c r="AF9" i="5" s="1"/>
  <c r="Y6" i="5"/>
  <c r="Z6" i="5" s="1"/>
  <c r="AB6" i="5" s="1"/>
  <c r="AC6" i="5" s="1"/>
  <c r="AD6" i="5" s="1"/>
  <c r="AE6" i="5" s="1"/>
  <c r="AF6" i="5" s="1"/>
  <c r="Y3" i="5"/>
  <c r="Z3" i="5" s="1"/>
  <c r="AB3" i="5" s="1"/>
  <c r="AC3" i="5" s="1"/>
  <c r="AD3" i="5" s="1"/>
  <c r="AE3" i="5" s="1"/>
  <c r="AF3" i="5" s="1"/>
  <c r="AF12" i="5"/>
  <c r="Y15" i="5"/>
  <c r="Z15" i="5" s="1"/>
  <c r="AB15" i="5" s="1"/>
  <c r="AC15" i="5" s="1"/>
  <c r="AD15" i="5" s="1"/>
  <c r="AE15" i="5" s="1"/>
  <c r="AF15" i="5" s="1"/>
  <c r="Y18" i="5"/>
  <c r="Z18" i="5" s="1"/>
  <c r="AB18" i="5" s="1"/>
  <c r="AC18" i="5" s="1"/>
  <c r="AD18" i="5" s="1"/>
  <c r="AE18" i="5" s="1"/>
  <c r="AF18" i="5" s="1"/>
  <c r="Y9" i="6"/>
  <c r="Z9" i="6" s="1"/>
  <c r="AB9" i="6" s="1"/>
  <c r="AC9" i="6" s="1"/>
  <c r="AD9" i="6" s="1"/>
  <c r="AE9" i="6" s="1"/>
  <c r="AF9" i="6" s="1"/>
  <c r="Y6" i="6"/>
  <c r="Z6" i="6" s="1"/>
  <c r="AB6" i="6" s="1"/>
  <c r="AC6" i="6" s="1"/>
  <c r="AD6" i="6" s="1"/>
  <c r="AE6" i="6" s="1"/>
  <c r="AF6" i="6" s="1"/>
  <c r="Y3" i="6"/>
  <c r="Z3" i="6" s="1"/>
  <c r="AB3" i="6" s="1"/>
  <c r="AC3" i="6" s="1"/>
  <c r="AD3" i="6" s="1"/>
  <c r="AE3" i="6" s="1"/>
  <c r="AF3" i="6" s="1"/>
  <c r="AB12" i="6"/>
  <c r="AC12" i="6" s="1"/>
  <c r="AD12" i="6" s="1"/>
  <c r="AE12" i="6" s="1"/>
  <c r="AF12" i="6" s="1"/>
  <c r="Y15" i="6"/>
  <c r="Z15" i="6" s="1"/>
  <c r="AB15" i="6" s="1"/>
  <c r="AC15" i="6" s="1"/>
  <c r="AD15" i="6" s="1"/>
  <c r="AE15" i="6" s="1"/>
  <c r="AF15" i="6" s="1"/>
  <c r="Y18" i="6"/>
  <c r="Z18" i="6" s="1"/>
  <c r="AB18" i="6" s="1"/>
  <c r="AC18" i="6" s="1"/>
  <c r="AD18" i="6" s="1"/>
  <c r="AE18" i="6" s="1"/>
  <c r="AF18" i="6" s="1"/>
  <c r="Y9" i="7"/>
  <c r="Z9" i="7" s="1"/>
  <c r="AB9" i="7" s="1"/>
  <c r="AC9" i="7" s="1"/>
  <c r="AD9" i="7" s="1"/>
  <c r="AE9" i="7" s="1"/>
  <c r="AF9" i="7" s="1"/>
  <c r="Y6" i="7"/>
  <c r="Z6" i="7" s="1"/>
  <c r="AB6" i="7" s="1"/>
  <c r="AC6" i="7" s="1"/>
  <c r="AD6" i="7" s="1"/>
  <c r="AE6" i="7" s="1"/>
  <c r="AF6" i="7" s="1"/>
  <c r="Y3" i="7"/>
  <c r="Z3" i="7" s="1"/>
  <c r="Y18" i="7"/>
  <c r="Z18" i="7" s="1"/>
  <c r="AB18" i="7" s="1"/>
  <c r="AC18" i="7" s="1"/>
  <c r="AD18" i="7" s="1"/>
  <c r="AE18" i="7" s="1"/>
  <c r="AF18" i="7" s="1"/>
  <c r="Y15" i="7"/>
  <c r="Z15" i="7" s="1"/>
  <c r="AB15" i="7" s="1"/>
  <c r="AC15" i="7" s="1"/>
  <c r="AD15" i="7" s="1"/>
  <c r="AE15" i="7" s="1"/>
  <c r="AF15" i="7" s="1"/>
  <c r="Y12" i="7"/>
  <c r="Z12" i="7" s="1"/>
  <c r="AB12" i="7" s="1"/>
  <c r="AC12" i="7" s="1"/>
  <c r="AD12" i="7" s="1"/>
  <c r="AE12" i="7" s="1"/>
  <c r="AF12" i="7" s="1"/>
  <c r="AB3" i="7"/>
  <c r="AC3" i="7" s="1"/>
  <c r="AD3" i="7" s="1"/>
  <c r="AE3" i="7" s="1"/>
  <c r="AF3" i="7" s="1"/>
  <c r="Y9" i="8"/>
  <c r="Z9" i="8" s="1"/>
  <c r="AB9" i="8" s="1"/>
  <c r="AC9" i="8" s="1"/>
  <c r="AD9" i="8" s="1"/>
  <c r="AE9" i="8" s="1"/>
  <c r="AF9" i="8" s="1"/>
  <c r="Y12" i="8"/>
  <c r="Z12" i="8" s="1"/>
  <c r="AB12" i="8" s="1"/>
  <c r="AC12" i="8" s="1"/>
  <c r="AD12" i="8" s="1"/>
  <c r="AE12" i="8" s="1"/>
  <c r="AF12" i="8" s="1"/>
  <c r="Y3" i="8"/>
  <c r="Z3" i="8" s="1"/>
  <c r="AB3" i="8" s="1"/>
  <c r="AC3" i="8" s="1"/>
  <c r="AD3" i="8" s="1"/>
  <c r="AE3" i="8" s="1"/>
  <c r="AF3" i="8" s="1"/>
  <c r="Y15" i="8"/>
  <c r="Z15" i="8" s="1"/>
  <c r="AB15" i="8" s="1"/>
  <c r="AC15" i="8" s="1"/>
  <c r="AD15" i="8" s="1"/>
  <c r="AE15" i="8" s="1"/>
  <c r="AF15" i="8" s="1"/>
  <c r="Y6" i="8"/>
  <c r="Z6" i="8" s="1"/>
  <c r="AB6" i="8" s="1"/>
  <c r="AC6" i="8" s="1"/>
  <c r="AD6" i="8" s="1"/>
  <c r="AE6" i="8" s="1"/>
  <c r="AF6" i="8" s="1"/>
  <c r="Y18" i="8"/>
  <c r="Z18" i="8" s="1"/>
  <c r="AB18" i="8" s="1"/>
  <c r="AC18" i="8" s="1"/>
  <c r="AD18" i="8" s="1"/>
  <c r="AE18" i="8" s="1"/>
  <c r="AF18" i="8" s="1"/>
  <c r="H34" i="9" l="1"/>
  <c r="G34" i="9"/>
  <c r="H33" i="9"/>
  <c r="G33" i="9"/>
  <c r="H32" i="9"/>
  <c r="G32" i="9"/>
  <c r="H31" i="9"/>
  <c r="G31" i="9"/>
  <c r="H30" i="9"/>
  <c r="G30" i="9"/>
  <c r="L34" i="8"/>
  <c r="K34" i="8"/>
  <c r="L33" i="8"/>
  <c r="K33" i="8"/>
  <c r="L32" i="8"/>
  <c r="K32" i="8"/>
  <c r="L31" i="8"/>
  <c r="K31" i="8"/>
  <c r="L30" i="8"/>
  <c r="K30" i="8"/>
  <c r="L34" i="7"/>
  <c r="K34" i="7"/>
  <c r="L33" i="7"/>
  <c r="K33" i="7"/>
  <c r="L32" i="7"/>
  <c r="K32" i="7"/>
  <c r="L31" i="7"/>
  <c r="K31" i="7"/>
  <c r="L30" i="7"/>
  <c r="K30" i="7"/>
  <c r="L35" i="6"/>
  <c r="K35" i="6"/>
  <c r="L34" i="6"/>
  <c r="K34" i="6"/>
  <c r="L33" i="6"/>
  <c r="K33" i="6"/>
  <c r="L32" i="6"/>
  <c r="K32" i="6"/>
  <c r="L31" i="6"/>
  <c r="K31" i="6"/>
  <c r="I56" i="2"/>
  <c r="H56" i="2"/>
  <c r="G56" i="2"/>
  <c r="I55" i="2"/>
  <c r="H55" i="2"/>
  <c r="G55" i="2"/>
  <c r="I54" i="2"/>
  <c r="L35" i="2"/>
  <c r="K35" i="2"/>
  <c r="L34" i="2"/>
  <c r="K34" i="2"/>
  <c r="L33" i="2"/>
  <c r="K33" i="2"/>
  <c r="L32" i="2"/>
  <c r="K32" i="2"/>
  <c r="L31" i="2"/>
  <c r="K31" i="2"/>
  <c r="N35" i="1"/>
  <c r="M35" i="1"/>
  <c r="N34" i="1"/>
  <c r="M34" i="1"/>
  <c r="N33" i="1"/>
  <c r="M33" i="1"/>
  <c r="N32" i="1"/>
  <c r="M32" i="1"/>
  <c r="N31" i="1"/>
  <c r="M31" i="1"/>
  <c r="K31" i="5"/>
  <c r="L31" i="5"/>
  <c r="K32" i="5"/>
  <c r="L32" i="5"/>
  <c r="K33" i="5"/>
  <c r="L33" i="5"/>
  <c r="K34" i="5"/>
  <c r="L34" i="5"/>
  <c r="K35" i="5"/>
  <c r="L35" i="5"/>
  <c r="K33" i="3"/>
  <c r="K32" i="3"/>
  <c r="K34" i="3"/>
  <c r="K35" i="3"/>
  <c r="K31" i="3"/>
  <c r="H88" i="9" l="1"/>
  <c r="G88" i="9"/>
  <c r="H87" i="9"/>
  <c r="G87" i="9"/>
  <c r="H86" i="9"/>
  <c r="G86" i="9"/>
  <c r="H85" i="9"/>
  <c r="G85" i="9"/>
  <c r="H84" i="9"/>
  <c r="G84" i="9"/>
  <c r="R51" i="7"/>
  <c r="R52" i="7"/>
  <c r="R50" i="7"/>
  <c r="Q51" i="7"/>
  <c r="Q52" i="7"/>
  <c r="Q50" i="7"/>
  <c r="P51" i="7"/>
  <c r="P52" i="7"/>
  <c r="P50" i="7"/>
  <c r="K56" i="1"/>
  <c r="K55" i="1"/>
  <c r="K54" i="1"/>
  <c r="J56" i="1"/>
  <c r="J55" i="1"/>
  <c r="J54" i="1"/>
  <c r="I56" i="1"/>
  <c r="I55" i="1"/>
  <c r="I54" i="1"/>
  <c r="E62" i="9"/>
  <c r="E61" i="9"/>
  <c r="E60" i="9"/>
  <c r="D62" i="9"/>
  <c r="D61" i="9"/>
  <c r="D60" i="9"/>
  <c r="C62" i="9"/>
  <c r="C61" i="9"/>
  <c r="C60" i="9"/>
  <c r="L28" i="14"/>
  <c r="M28" i="14"/>
  <c r="E44" i="14" s="1"/>
  <c r="N44" i="14" s="1"/>
  <c r="O28" i="14"/>
  <c r="K44" i="14" s="1"/>
  <c r="T44" i="14" s="1"/>
  <c r="F68" i="14"/>
  <c r="F69" i="14"/>
  <c r="F70" i="14"/>
  <c r="F71" i="14"/>
  <c r="F72" i="14"/>
  <c r="F73" i="14"/>
  <c r="F74" i="14"/>
  <c r="F75" i="14"/>
  <c r="F67" i="14"/>
  <c r="E68" i="14"/>
  <c r="E69" i="14"/>
  <c r="E70" i="14"/>
  <c r="E71" i="14"/>
  <c r="E72" i="14"/>
  <c r="E73" i="14"/>
  <c r="E74" i="14"/>
  <c r="E75" i="14"/>
  <c r="E67" i="14"/>
  <c r="D68" i="14"/>
  <c r="D69" i="14"/>
  <c r="D70" i="14"/>
  <c r="D71" i="14"/>
  <c r="D72" i="14"/>
  <c r="D73" i="14"/>
  <c r="D74" i="14"/>
  <c r="D75" i="14"/>
  <c r="D67" i="14"/>
  <c r="T45" i="10"/>
  <c r="M22" i="14"/>
  <c r="M27" i="14"/>
  <c r="M26" i="14"/>
  <c r="M25" i="14"/>
  <c r="M32" i="14"/>
  <c r="M31" i="14"/>
  <c r="M30" i="14"/>
  <c r="M29" i="14"/>
  <c r="M24" i="14"/>
  <c r="M23" i="14"/>
  <c r="M21" i="14"/>
  <c r="L27" i="14"/>
  <c r="L26" i="14"/>
  <c r="L25" i="14"/>
  <c r="L22" i="14"/>
  <c r="L32" i="14"/>
  <c r="L31" i="14"/>
  <c r="L30" i="14"/>
  <c r="L29" i="14"/>
  <c r="L24" i="14"/>
  <c r="L23" i="14"/>
  <c r="L21" i="14"/>
  <c r="AH4" i="14"/>
  <c r="C37" i="14" s="1"/>
  <c r="G48" i="14" l="1"/>
  <c r="F48" i="14"/>
  <c r="E48" i="14"/>
  <c r="J48" i="14"/>
  <c r="G46" i="14"/>
  <c r="K46" i="14"/>
  <c r="E45" i="14"/>
  <c r="M45" i="14"/>
  <c r="V45" i="14" s="1"/>
  <c r="I45" i="14"/>
  <c r="L44" i="14"/>
  <c r="U44" i="14" s="1"/>
  <c r="H44" i="14"/>
  <c r="Q44" i="14" s="1"/>
  <c r="G44" i="14"/>
  <c r="P44" i="14" s="1"/>
  <c r="J44" i="14"/>
  <c r="S44" i="14" s="1"/>
  <c r="F44" i="14"/>
  <c r="O44" i="14" s="1"/>
  <c r="M44" i="14"/>
  <c r="V44" i="14" s="1"/>
  <c r="I44" i="14"/>
  <c r="R44" i="14" s="1"/>
  <c r="L38" i="14"/>
  <c r="U38" i="14" s="1"/>
  <c r="H38" i="14"/>
  <c r="K38" i="14"/>
  <c r="J38" i="14"/>
  <c r="G40" i="14"/>
  <c r="K40" i="14"/>
  <c r="O23" i="14"/>
  <c r="O27" i="14"/>
  <c r="H43" i="14" s="1"/>
  <c r="O31" i="14"/>
  <c r="M47" i="14" s="1"/>
  <c r="V47" i="14" s="1"/>
  <c r="O22" i="14"/>
  <c r="O24" i="14"/>
  <c r="O32" i="14"/>
  <c r="H48" i="14" s="1"/>
  <c r="O29" i="14"/>
  <c r="O21" i="14"/>
  <c r="K37" i="14" s="1"/>
  <c r="T37" i="14" s="1"/>
  <c r="O30" i="14"/>
  <c r="O25" i="14"/>
  <c r="O26" i="14"/>
  <c r="I48" i="14" l="1"/>
  <c r="K48" i="14"/>
  <c r="L48" i="14"/>
  <c r="U48" i="14" s="1"/>
  <c r="M48" i="14"/>
  <c r="V48" i="14" s="1"/>
  <c r="I47" i="14"/>
  <c r="H47" i="14"/>
  <c r="F47" i="14"/>
  <c r="J47" i="14"/>
  <c r="G47" i="14"/>
  <c r="K47" i="14"/>
  <c r="L47" i="14"/>
  <c r="U47" i="14" s="1"/>
  <c r="E47" i="14"/>
  <c r="H46" i="14"/>
  <c r="L46" i="14"/>
  <c r="U46" i="14" s="1"/>
  <c r="E46" i="14"/>
  <c r="I46" i="14"/>
  <c r="M46" i="14"/>
  <c r="V46" i="14" s="1"/>
  <c r="F46" i="14"/>
  <c r="J46" i="14"/>
  <c r="F45" i="14"/>
  <c r="J45" i="14"/>
  <c r="G45" i="14"/>
  <c r="K45" i="14"/>
  <c r="H45" i="14"/>
  <c r="L45" i="14"/>
  <c r="U45" i="14" s="1"/>
  <c r="K43" i="14"/>
  <c r="I43" i="14"/>
  <c r="F43" i="14"/>
  <c r="E43" i="14"/>
  <c r="M43" i="14"/>
  <c r="V43" i="14" s="1"/>
  <c r="J43" i="14"/>
  <c r="L43" i="14"/>
  <c r="U43" i="14" s="1"/>
  <c r="G43" i="14"/>
  <c r="E42" i="14"/>
  <c r="I42" i="14"/>
  <c r="M42" i="14"/>
  <c r="V42" i="14" s="1"/>
  <c r="K42" i="14"/>
  <c r="H42" i="14"/>
  <c r="J42" i="14"/>
  <c r="L42" i="14"/>
  <c r="U42" i="14" s="1"/>
  <c r="G42" i="14"/>
  <c r="F42" i="14"/>
  <c r="G41" i="14"/>
  <c r="K41" i="14"/>
  <c r="L41" i="14"/>
  <c r="U41" i="14" s="1"/>
  <c r="J41" i="14"/>
  <c r="M41" i="14"/>
  <c r="V41" i="14" s="1"/>
  <c r="F41" i="14"/>
  <c r="E41" i="14"/>
  <c r="I41" i="14"/>
  <c r="H41" i="14"/>
  <c r="I38" i="14"/>
  <c r="M38" i="14"/>
  <c r="V38" i="14" s="1"/>
  <c r="G38" i="14"/>
  <c r="F38" i="14"/>
  <c r="H40" i="14"/>
  <c r="L40" i="14"/>
  <c r="U40" i="14" s="1"/>
  <c r="E40" i="14"/>
  <c r="N40" i="14" s="1"/>
  <c r="I40" i="14"/>
  <c r="M40" i="14"/>
  <c r="V40" i="14" s="1"/>
  <c r="F40" i="14"/>
  <c r="J40" i="14"/>
  <c r="F39" i="14"/>
  <c r="J39" i="14"/>
  <c r="H39" i="14"/>
  <c r="M39" i="14"/>
  <c r="V39" i="14" s="1"/>
  <c r="L39" i="14"/>
  <c r="U39" i="14" s="1"/>
  <c r="G39" i="14"/>
  <c r="K39" i="14"/>
  <c r="E39" i="14"/>
  <c r="I39" i="14"/>
  <c r="I37" i="14"/>
  <c r="L37" i="14"/>
  <c r="U37" i="14" s="1"/>
  <c r="G37" i="14"/>
  <c r="F37" i="14"/>
  <c r="J37" i="14"/>
  <c r="M37" i="14"/>
  <c r="V37" i="14" s="1"/>
  <c r="E37" i="14"/>
  <c r="H37" i="14"/>
  <c r="U49" i="14" l="1"/>
  <c r="V49" i="14"/>
  <c r="Y36" i="13"/>
  <c r="AG4" i="14"/>
  <c r="AG5" i="14"/>
  <c r="AH5" i="14"/>
  <c r="C38" i="14" s="1"/>
  <c r="AG6" i="14"/>
  <c r="AH6" i="14"/>
  <c r="C39" i="14" s="1"/>
  <c r="AG7" i="14"/>
  <c r="AH7" i="14"/>
  <c r="C40" i="14" s="1"/>
  <c r="AG8" i="14"/>
  <c r="AH8" i="14"/>
  <c r="C41" i="14" s="1"/>
  <c r="AG9" i="14"/>
  <c r="AH9" i="14"/>
  <c r="C42" i="14" s="1"/>
  <c r="AG10" i="14"/>
  <c r="AH10" i="14"/>
  <c r="C43" i="14" s="1"/>
  <c r="AG11" i="14"/>
  <c r="AH11" i="14"/>
  <c r="C44" i="14" s="1"/>
  <c r="AG12" i="14"/>
  <c r="AH12" i="14"/>
  <c r="C45" i="14" s="1"/>
  <c r="AG13" i="14"/>
  <c r="AH13" i="14"/>
  <c r="C46" i="14" s="1"/>
  <c r="AG14" i="14"/>
  <c r="AH14" i="14"/>
  <c r="C47" i="14" s="1"/>
  <c r="AG15" i="14"/>
  <c r="AH15" i="14"/>
  <c r="C48" i="14" s="1"/>
  <c r="K2" i="13"/>
  <c r="L2" i="13"/>
  <c r="K3" i="13"/>
  <c r="L3" i="13"/>
  <c r="K4" i="13"/>
  <c r="L4" i="13"/>
  <c r="K5" i="13"/>
  <c r="L5" i="13"/>
  <c r="K6" i="13"/>
  <c r="L6" i="13"/>
  <c r="K7" i="13"/>
  <c r="L7" i="13"/>
  <c r="K8" i="13"/>
  <c r="L8" i="13"/>
  <c r="K9" i="13"/>
  <c r="L9" i="13"/>
  <c r="K10" i="13"/>
  <c r="L10" i="13"/>
  <c r="K11" i="13"/>
  <c r="L11" i="13"/>
  <c r="K12" i="13"/>
  <c r="L12" i="13"/>
  <c r="K13" i="13"/>
  <c r="L13" i="13"/>
  <c r="K14" i="13"/>
  <c r="L14" i="13"/>
  <c r="K15" i="13"/>
  <c r="L15" i="13"/>
  <c r="K16" i="13"/>
  <c r="L16" i="13"/>
  <c r="K17" i="13"/>
  <c r="L17" i="13"/>
  <c r="K18" i="13"/>
  <c r="L18" i="13"/>
  <c r="K19" i="13"/>
  <c r="L19" i="13"/>
  <c r="K20" i="13"/>
  <c r="L20" i="13"/>
  <c r="K21" i="13"/>
  <c r="L21" i="13"/>
  <c r="K22" i="13"/>
  <c r="L22" i="13"/>
  <c r="K23" i="13"/>
  <c r="L23" i="13"/>
  <c r="K24" i="13"/>
  <c r="L24" i="13"/>
  <c r="K25" i="13"/>
  <c r="L25" i="13"/>
  <c r="K26" i="13"/>
  <c r="L26" i="13"/>
  <c r="K27" i="13"/>
  <c r="L27" i="13"/>
  <c r="K28" i="13"/>
  <c r="L28" i="13"/>
  <c r="K29" i="13"/>
  <c r="L29" i="13"/>
  <c r="K30" i="13"/>
  <c r="L30" i="13"/>
  <c r="K31" i="13"/>
  <c r="L31" i="13"/>
  <c r="B32" i="13"/>
  <c r="C32" i="13"/>
  <c r="D32" i="13"/>
  <c r="E32" i="13"/>
  <c r="F32" i="13"/>
  <c r="G32" i="13"/>
  <c r="H32" i="13"/>
  <c r="I32" i="13"/>
  <c r="J32" i="13"/>
  <c r="K32" i="13"/>
  <c r="V36" i="13"/>
  <c r="V37" i="13"/>
  <c r="V41" i="13"/>
  <c r="B33" i="13"/>
  <c r="C33" i="13"/>
  <c r="D33" i="13"/>
  <c r="U38" i="13" s="1"/>
  <c r="E33" i="13"/>
  <c r="F33" i="13"/>
  <c r="G33" i="13"/>
  <c r="H33" i="13"/>
  <c r="U42" i="13" s="1"/>
  <c r="I33" i="13"/>
  <c r="J33" i="13"/>
  <c r="U36" i="13"/>
  <c r="U37" i="13"/>
  <c r="V38" i="13"/>
  <c r="U39" i="13"/>
  <c r="V39" i="13"/>
  <c r="U40" i="13"/>
  <c r="V40" i="13"/>
  <c r="U41" i="13"/>
  <c r="V42" i="13"/>
  <c r="U43" i="13"/>
  <c r="V43" i="13"/>
  <c r="U44" i="13"/>
  <c r="V44" i="13"/>
  <c r="K2" i="12"/>
  <c r="L2" i="12"/>
  <c r="K3" i="12"/>
  <c r="L3" i="12"/>
  <c r="K4" i="12"/>
  <c r="L4" i="12"/>
  <c r="K5" i="12"/>
  <c r="L5" i="12"/>
  <c r="K6" i="12"/>
  <c r="L6" i="12"/>
  <c r="K7" i="12"/>
  <c r="L7" i="12"/>
  <c r="K8" i="12"/>
  <c r="L8" i="12"/>
  <c r="K9" i="12"/>
  <c r="L9" i="12"/>
  <c r="K10" i="12"/>
  <c r="L10" i="12"/>
  <c r="K11" i="12"/>
  <c r="L11" i="12"/>
  <c r="K12" i="12"/>
  <c r="L12" i="12"/>
  <c r="K13" i="12"/>
  <c r="L13" i="12"/>
  <c r="K14" i="12"/>
  <c r="L14" i="12"/>
  <c r="K15" i="12"/>
  <c r="L15" i="12"/>
  <c r="K16" i="12"/>
  <c r="L16" i="12"/>
  <c r="K17" i="12"/>
  <c r="L17" i="12"/>
  <c r="K18" i="12"/>
  <c r="L18" i="12"/>
  <c r="K19" i="12"/>
  <c r="L19" i="12"/>
  <c r="K20" i="12"/>
  <c r="L20" i="12"/>
  <c r="K21" i="12"/>
  <c r="L21" i="12"/>
  <c r="K22" i="12"/>
  <c r="L22" i="12"/>
  <c r="K23" i="12"/>
  <c r="L23" i="12"/>
  <c r="K24" i="12"/>
  <c r="L24" i="12"/>
  <c r="K25" i="12"/>
  <c r="L25" i="12"/>
  <c r="K26" i="12"/>
  <c r="L26" i="12"/>
  <c r="K27" i="12"/>
  <c r="L27" i="12"/>
  <c r="K28" i="12"/>
  <c r="L28" i="12"/>
  <c r="K29" i="12"/>
  <c r="L29" i="12"/>
  <c r="K30" i="12"/>
  <c r="L30" i="12"/>
  <c r="K31" i="12"/>
  <c r="L31" i="12"/>
  <c r="B32" i="12"/>
  <c r="C32" i="12"/>
  <c r="D32" i="12"/>
  <c r="E32" i="12"/>
  <c r="F32" i="12"/>
  <c r="G32" i="12"/>
  <c r="H32" i="12"/>
  <c r="I32" i="12"/>
  <c r="J32" i="12"/>
  <c r="K32" i="12"/>
  <c r="V36" i="12"/>
  <c r="V40" i="12"/>
  <c r="V44" i="12"/>
  <c r="B33" i="12"/>
  <c r="C33" i="12"/>
  <c r="D33" i="12"/>
  <c r="U38" i="12" s="1"/>
  <c r="E33" i="12"/>
  <c r="U39" i="12" s="1"/>
  <c r="F33" i="12"/>
  <c r="G33" i="12"/>
  <c r="H33" i="12"/>
  <c r="U42" i="12" s="1"/>
  <c r="I33" i="12"/>
  <c r="U43" i="12" s="1"/>
  <c r="J33" i="12"/>
  <c r="U36" i="12"/>
  <c r="U37" i="12"/>
  <c r="V37" i="12"/>
  <c r="V38" i="12"/>
  <c r="V39" i="12"/>
  <c r="U40" i="12"/>
  <c r="U41" i="12"/>
  <c r="V41" i="12"/>
  <c r="V42" i="12"/>
  <c r="V43" i="12"/>
  <c r="U44" i="12"/>
  <c r="K2" i="11"/>
  <c r="L2" i="11"/>
  <c r="K3" i="11"/>
  <c r="L3" i="11"/>
  <c r="K4" i="11"/>
  <c r="L4" i="11"/>
  <c r="K5" i="11"/>
  <c r="L5" i="11"/>
  <c r="K6" i="11"/>
  <c r="L6" i="11"/>
  <c r="K7" i="11"/>
  <c r="L7" i="11"/>
  <c r="K8" i="11"/>
  <c r="L8" i="11"/>
  <c r="K9" i="11"/>
  <c r="L9" i="11"/>
  <c r="K10" i="11"/>
  <c r="L10" i="11"/>
  <c r="K11" i="11"/>
  <c r="L11" i="11"/>
  <c r="K12" i="11"/>
  <c r="L12" i="11"/>
  <c r="K13" i="11"/>
  <c r="L13" i="11"/>
  <c r="K14" i="11"/>
  <c r="L14" i="11"/>
  <c r="K15" i="11"/>
  <c r="L15" i="11"/>
  <c r="K16" i="11"/>
  <c r="L16" i="11"/>
  <c r="K17" i="11"/>
  <c r="L17" i="11"/>
  <c r="K18" i="11"/>
  <c r="L18" i="11"/>
  <c r="K19" i="11"/>
  <c r="L19" i="11"/>
  <c r="K20" i="11"/>
  <c r="L20" i="11"/>
  <c r="K21" i="11"/>
  <c r="L21" i="11"/>
  <c r="K22" i="11"/>
  <c r="L22" i="11"/>
  <c r="K23" i="11"/>
  <c r="L23" i="11"/>
  <c r="K24" i="11"/>
  <c r="L24" i="11"/>
  <c r="K25" i="11"/>
  <c r="L25" i="11"/>
  <c r="K26" i="11"/>
  <c r="L26" i="11"/>
  <c r="K27" i="11"/>
  <c r="L27" i="11"/>
  <c r="K28" i="11"/>
  <c r="L28" i="11"/>
  <c r="K29" i="11"/>
  <c r="L29" i="11"/>
  <c r="K30" i="11"/>
  <c r="L30" i="11"/>
  <c r="K31" i="11"/>
  <c r="L31" i="11"/>
  <c r="B32" i="11"/>
  <c r="C32" i="11"/>
  <c r="D32" i="11"/>
  <c r="E32" i="11"/>
  <c r="F32" i="11"/>
  <c r="G32" i="11"/>
  <c r="H32" i="11"/>
  <c r="I32" i="11"/>
  <c r="J32" i="11"/>
  <c r="U39" i="11"/>
  <c r="U40" i="11"/>
  <c r="U41" i="11"/>
  <c r="U43" i="11"/>
  <c r="U44" i="11"/>
  <c r="U45" i="11"/>
  <c r="B33" i="11"/>
  <c r="T37" i="11" s="1"/>
  <c r="C67" i="14" s="1"/>
  <c r="C33" i="11"/>
  <c r="D33" i="11"/>
  <c r="T39" i="11" s="1"/>
  <c r="C69" i="14" s="1"/>
  <c r="E33" i="11"/>
  <c r="T40" i="11" s="1"/>
  <c r="C70" i="14" s="1"/>
  <c r="F33" i="11"/>
  <c r="G33" i="11"/>
  <c r="H33" i="11"/>
  <c r="T43" i="11" s="1"/>
  <c r="C73" i="14" s="1"/>
  <c r="I33" i="11"/>
  <c r="T44" i="11" s="1"/>
  <c r="C74" i="14" s="1"/>
  <c r="J33" i="11"/>
  <c r="T45" i="11" s="1"/>
  <c r="C75" i="14" s="1"/>
  <c r="T38" i="11"/>
  <c r="C68" i="14" s="1"/>
  <c r="U38" i="11"/>
  <c r="T41" i="11"/>
  <c r="C71" i="14" s="1"/>
  <c r="T42" i="11"/>
  <c r="C72" i="14" s="1"/>
  <c r="U42" i="11"/>
  <c r="K2" i="10"/>
  <c r="L2" i="10"/>
  <c r="K3" i="10"/>
  <c r="L3" i="10"/>
  <c r="K4" i="10"/>
  <c r="L4" i="10"/>
  <c r="K5" i="10"/>
  <c r="L5" i="10"/>
  <c r="K6" i="10"/>
  <c r="L6" i="10"/>
  <c r="K7" i="10"/>
  <c r="L7" i="10"/>
  <c r="K8" i="10"/>
  <c r="L8" i="10"/>
  <c r="K9" i="10"/>
  <c r="L9" i="10"/>
  <c r="K10" i="10"/>
  <c r="L10" i="10"/>
  <c r="K11" i="10"/>
  <c r="L11" i="10"/>
  <c r="K12" i="10"/>
  <c r="L12" i="10"/>
  <c r="K13" i="10"/>
  <c r="L13" i="10"/>
  <c r="K14" i="10"/>
  <c r="L14" i="10"/>
  <c r="K15" i="10"/>
  <c r="L15" i="10"/>
  <c r="K16" i="10"/>
  <c r="L16" i="10"/>
  <c r="K17" i="10"/>
  <c r="L17" i="10"/>
  <c r="K18" i="10"/>
  <c r="L18" i="10"/>
  <c r="K19" i="10"/>
  <c r="L19" i="10"/>
  <c r="K20" i="10"/>
  <c r="L20" i="10"/>
  <c r="K21" i="10"/>
  <c r="L21" i="10"/>
  <c r="K22" i="10"/>
  <c r="L22" i="10"/>
  <c r="K23" i="10"/>
  <c r="L23" i="10"/>
  <c r="K24" i="10"/>
  <c r="L24" i="10"/>
  <c r="K25" i="10"/>
  <c r="L25" i="10"/>
  <c r="K26" i="10"/>
  <c r="L26" i="10"/>
  <c r="K27" i="10"/>
  <c r="L27" i="10"/>
  <c r="K28" i="10"/>
  <c r="L28" i="10"/>
  <c r="K29" i="10"/>
  <c r="L29" i="10"/>
  <c r="K30" i="10"/>
  <c r="L30" i="10"/>
  <c r="K31" i="10"/>
  <c r="L31" i="10"/>
  <c r="B32" i="10"/>
  <c r="C32" i="10"/>
  <c r="D32" i="10"/>
  <c r="E32" i="10"/>
  <c r="F32" i="10"/>
  <c r="G32" i="10"/>
  <c r="H32" i="10"/>
  <c r="I32" i="10"/>
  <c r="J32" i="10"/>
  <c r="K32" i="10"/>
  <c r="U37" i="10"/>
  <c r="U39" i="10"/>
  <c r="U41" i="10"/>
  <c r="U43" i="10"/>
  <c r="B33" i="10"/>
  <c r="C33" i="10"/>
  <c r="D33" i="10"/>
  <c r="E33" i="10"/>
  <c r="F33" i="10"/>
  <c r="G33" i="10"/>
  <c r="H33" i="10"/>
  <c r="I33" i="10"/>
  <c r="J33" i="10"/>
  <c r="T36" i="10"/>
  <c r="T37" i="10"/>
  <c r="T38" i="10"/>
  <c r="U38" i="10"/>
  <c r="T39" i="10"/>
  <c r="T40" i="10"/>
  <c r="U40" i="10"/>
  <c r="T41" i="10"/>
  <c r="T42" i="10"/>
  <c r="U42" i="10"/>
  <c r="T43" i="10"/>
  <c r="T44" i="10"/>
  <c r="U44" i="10"/>
  <c r="U37" i="11" l="1"/>
  <c r="F40" i="11"/>
  <c r="K32" i="11"/>
  <c r="C49" i="14"/>
  <c r="D48" i="14" l="1"/>
  <c r="D37" i="14"/>
  <c r="D40" i="14"/>
  <c r="D41" i="14"/>
  <c r="D45" i="14"/>
  <c r="D42" i="14"/>
  <c r="D43" i="14"/>
  <c r="D46" i="14"/>
  <c r="D39" i="14"/>
  <c r="D38" i="14"/>
  <c r="D44" i="14"/>
  <c r="D47" i="14"/>
  <c r="C13" i="9"/>
  <c r="D13" i="9"/>
  <c r="E13" i="9"/>
  <c r="E12" i="9"/>
  <c r="D12" i="9"/>
  <c r="C12" i="9"/>
  <c r="H11" i="9"/>
  <c r="H10" i="9"/>
  <c r="H9" i="9"/>
  <c r="H8" i="9"/>
  <c r="H7" i="9"/>
  <c r="H6" i="9"/>
  <c r="H5" i="9"/>
  <c r="H4" i="9"/>
  <c r="H3" i="9"/>
  <c r="G4" i="9"/>
  <c r="G5" i="9"/>
  <c r="G6" i="9"/>
  <c r="G7" i="9"/>
  <c r="G8" i="9"/>
  <c r="G9" i="9"/>
  <c r="G10" i="9"/>
  <c r="G11" i="9"/>
  <c r="G3" i="9"/>
  <c r="F5" i="9"/>
  <c r="F3" i="9"/>
  <c r="C23" i="9" s="1"/>
  <c r="F4" i="9"/>
  <c r="F6" i="9"/>
  <c r="F7" i="9"/>
  <c r="F8" i="9"/>
  <c r="F9" i="9"/>
  <c r="F10" i="9"/>
  <c r="F11" i="9"/>
  <c r="J6" i="7"/>
  <c r="J10" i="7"/>
  <c r="I3" i="7"/>
  <c r="I13" i="7" s="1"/>
  <c r="I4" i="7"/>
  <c r="I5" i="7"/>
  <c r="I6" i="7"/>
  <c r="I7" i="7"/>
  <c r="I8" i="7"/>
  <c r="I9" i="7"/>
  <c r="I10" i="7"/>
  <c r="I11" i="7"/>
  <c r="H3" i="7"/>
  <c r="H13" i="7" s="1"/>
  <c r="H4" i="7"/>
  <c r="H5" i="7"/>
  <c r="H6" i="7"/>
  <c r="H7" i="7"/>
  <c r="H8" i="7"/>
  <c r="H9" i="7"/>
  <c r="H10" i="7"/>
  <c r="H11" i="7"/>
  <c r="G3" i="7"/>
  <c r="J3" i="7" s="1"/>
  <c r="G4" i="7"/>
  <c r="K4" i="7" s="1"/>
  <c r="G5" i="7"/>
  <c r="K5" i="7" s="1"/>
  <c r="G6" i="7"/>
  <c r="K6" i="7" s="1"/>
  <c r="G7" i="7"/>
  <c r="J7" i="7" s="1"/>
  <c r="G8" i="7"/>
  <c r="K8" i="7" s="1"/>
  <c r="G9" i="7"/>
  <c r="K9" i="7" s="1"/>
  <c r="G10" i="7"/>
  <c r="K10" i="7" s="1"/>
  <c r="G11" i="7"/>
  <c r="J11" i="7" s="1"/>
  <c r="L3" i="7" l="1"/>
  <c r="G23" i="7"/>
  <c r="L11" i="7"/>
  <c r="I25" i="7"/>
  <c r="L7" i="7"/>
  <c r="H24" i="7"/>
  <c r="K11" i="7"/>
  <c r="K3" i="7"/>
  <c r="J9" i="7"/>
  <c r="J5" i="7"/>
  <c r="G12" i="7"/>
  <c r="G13" i="7"/>
  <c r="L6" i="7"/>
  <c r="G24" i="7"/>
  <c r="J8" i="7"/>
  <c r="J4" i="7"/>
  <c r="J12" i="7" s="1"/>
  <c r="G15" i="7" s="1"/>
  <c r="H12" i="7"/>
  <c r="L10" i="7"/>
  <c r="H25" i="7"/>
  <c r="K7" i="7"/>
  <c r="I12" i="7"/>
  <c r="D74" i="9"/>
  <c r="D25" i="9"/>
  <c r="C73" i="9"/>
  <c r="G73" i="9" s="1"/>
  <c r="C24" i="9"/>
  <c r="C74" i="9"/>
  <c r="C25" i="9"/>
  <c r="D72" i="9"/>
  <c r="D75" i="9" s="1"/>
  <c r="D23" i="9"/>
  <c r="E73" i="9"/>
  <c r="E24" i="9"/>
  <c r="F23" i="9"/>
  <c r="E74" i="9"/>
  <c r="E25" i="9"/>
  <c r="D73" i="9"/>
  <c r="D24" i="9"/>
  <c r="E72" i="9"/>
  <c r="E23" i="9"/>
  <c r="E26" i="9" s="1"/>
  <c r="E27" i="9" s="1"/>
  <c r="L10" i="8"/>
  <c r="L6" i="8"/>
  <c r="L9" i="8"/>
  <c r="L5" i="8"/>
  <c r="K8" i="8"/>
  <c r="K4" i="8"/>
  <c r="J10" i="8"/>
  <c r="H13" i="8"/>
  <c r="J11" i="8"/>
  <c r="J7" i="8"/>
  <c r="J3" i="8"/>
  <c r="G23" i="8" s="1"/>
  <c r="L8" i="8"/>
  <c r="L4" i="8"/>
  <c r="I12" i="8"/>
  <c r="J6" i="8"/>
  <c r="K7" i="8"/>
  <c r="I13" i="8"/>
  <c r="J9" i="8"/>
  <c r="J5" i="8"/>
  <c r="I23" i="8" s="1"/>
  <c r="K10" i="8"/>
  <c r="K6" i="8"/>
  <c r="L11" i="8"/>
  <c r="L7" i="8"/>
  <c r="L3" i="8"/>
  <c r="J8" i="8"/>
  <c r="I24" i="8" s="1"/>
  <c r="J4" i="8"/>
  <c r="K9" i="8"/>
  <c r="K5" i="8"/>
  <c r="G12" i="8"/>
  <c r="G13" i="8"/>
  <c r="K11" i="8"/>
  <c r="K3" i="8"/>
  <c r="H12" i="8"/>
  <c r="F73" i="9"/>
  <c r="G74" i="9"/>
  <c r="F74" i="9"/>
  <c r="C72" i="9"/>
  <c r="F12" i="9"/>
  <c r="E75" i="9"/>
  <c r="E76" i="9"/>
  <c r="T41" i="14"/>
  <c r="N41" i="14"/>
  <c r="Q41" i="14"/>
  <c r="O41" i="14"/>
  <c r="S41" i="14"/>
  <c r="P41" i="14"/>
  <c r="R41" i="14"/>
  <c r="R43" i="14"/>
  <c r="S43" i="14"/>
  <c r="Q43" i="14"/>
  <c r="P43" i="14"/>
  <c r="O43" i="14"/>
  <c r="T43" i="14"/>
  <c r="N43" i="14"/>
  <c r="O40" i="14"/>
  <c r="P40" i="14"/>
  <c r="Q40" i="14"/>
  <c r="S40" i="14"/>
  <c r="T40" i="14"/>
  <c r="R40" i="14"/>
  <c r="Q46" i="14"/>
  <c r="S46" i="14"/>
  <c r="N46" i="14"/>
  <c r="T46" i="14"/>
  <c r="R46" i="14"/>
  <c r="P46" i="14"/>
  <c r="O46" i="14"/>
  <c r="R38" i="14"/>
  <c r="N38" i="14"/>
  <c r="T38" i="14"/>
  <c r="Q38" i="14"/>
  <c r="P38" i="14"/>
  <c r="O38" i="14"/>
  <c r="S38" i="14"/>
  <c r="S42" i="14"/>
  <c r="P42" i="14"/>
  <c r="T42" i="14"/>
  <c r="Q42" i="14"/>
  <c r="N42" i="14"/>
  <c r="R42" i="14"/>
  <c r="O42" i="14"/>
  <c r="Q37" i="14"/>
  <c r="R37" i="14"/>
  <c r="O37" i="14"/>
  <c r="S37" i="14"/>
  <c r="N37" i="14"/>
  <c r="P37" i="14"/>
  <c r="N47" i="14"/>
  <c r="Q47" i="14"/>
  <c r="P47" i="14"/>
  <c r="T47" i="14"/>
  <c r="R47" i="14"/>
  <c r="O47" i="14"/>
  <c r="S47" i="14"/>
  <c r="Q39" i="14"/>
  <c r="O39" i="14"/>
  <c r="P39" i="14"/>
  <c r="S39" i="14"/>
  <c r="R39" i="14"/>
  <c r="T39" i="14"/>
  <c r="N39" i="14"/>
  <c r="P45" i="14"/>
  <c r="S45" i="14"/>
  <c r="N45" i="14"/>
  <c r="O45" i="14"/>
  <c r="R45" i="14"/>
  <c r="Q45" i="14"/>
  <c r="T45" i="14"/>
  <c r="N48" i="14"/>
  <c r="P48" i="14"/>
  <c r="T48" i="14"/>
  <c r="R48" i="14"/>
  <c r="S48" i="14"/>
  <c r="Q48" i="14"/>
  <c r="O48" i="14"/>
  <c r="J5" i="6"/>
  <c r="J9" i="6"/>
  <c r="I3" i="6"/>
  <c r="I13" i="6" s="1"/>
  <c r="I4" i="6"/>
  <c r="I5" i="6"/>
  <c r="I6" i="6"/>
  <c r="I7" i="6"/>
  <c r="I8" i="6"/>
  <c r="I9" i="6"/>
  <c r="I10" i="6"/>
  <c r="I11" i="6"/>
  <c r="H3" i="6"/>
  <c r="H13" i="6" s="1"/>
  <c r="H4" i="6"/>
  <c r="H5" i="6"/>
  <c r="H6" i="6"/>
  <c r="H7" i="6"/>
  <c r="H8" i="6"/>
  <c r="H9" i="6"/>
  <c r="H10" i="6"/>
  <c r="H11" i="6"/>
  <c r="G3" i="6"/>
  <c r="K3" i="6" s="1"/>
  <c r="G4" i="6"/>
  <c r="K4" i="6" s="1"/>
  <c r="G5" i="6"/>
  <c r="K5" i="6" s="1"/>
  <c r="G6" i="6"/>
  <c r="J6" i="6" s="1"/>
  <c r="G7" i="6"/>
  <c r="K7" i="6" s="1"/>
  <c r="G8" i="6"/>
  <c r="K8" i="6" s="1"/>
  <c r="G9" i="6"/>
  <c r="K9" i="6" s="1"/>
  <c r="G10" i="6"/>
  <c r="J10" i="6" s="1"/>
  <c r="G11" i="6"/>
  <c r="K11" i="6" s="1"/>
  <c r="G7" i="5"/>
  <c r="H7" i="5"/>
  <c r="I11" i="5"/>
  <c r="D76" i="9" l="1"/>
  <c r="C26" i="9"/>
  <c r="C27" i="9" s="1"/>
  <c r="G17" i="7"/>
  <c r="H30" i="7" s="1"/>
  <c r="I30" i="7" s="1"/>
  <c r="G16" i="7"/>
  <c r="G18" i="7"/>
  <c r="L5" i="7"/>
  <c r="I23" i="7"/>
  <c r="L9" i="7"/>
  <c r="G25" i="7"/>
  <c r="J25" i="7" s="1"/>
  <c r="K25" i="7" s="1"/>
  <c r="J45" i="7" s="1"/>
  <c r="G26" i="7"/>
  <c r="G27" i="7" s="1"/>
  <c r="J39" i="7" s="1"/>
  <c r="L8" i="7"/>
  <c r="I24" i="7"/>
  <c r="J24" i="7" s="1"/>
  <c r="K24" i="7" s="1"/>
  <c r="J44" i="7" s="1"/>
  <c r="L4" i="7"/>
  <c r="H23" i="7"/>
  <c r="J23" i="7" s="1"/>
  <c r="L10" i="6"/>
  <c r="H25" i="6"/>
  <c r="L6" i="6"/>
  <c r="G24" i="6"/>
  <c r="K10" i="6"/>
  <c r="G12" i="6"/>
  <c r="J8" i="6"/>
  <c r="J4" i="6"/>
  <c r="H12" i="6"/>
  <c r="L9" i="6"/>
  <c r="G25" i="6"/>
  <c r="K6" i="6"/>
  <c r="J11" i="6"/>
  <c r="J7" i="6"/>
  <c r="J3" i="6"/>
  <c r="I12" i="6"/>
  <c r="L5" i="6"/>
  <c r="I23" i="6"/>
  <c r="G13" i="6"/>
  <c r="G23" i="9"/>
  <c r="C64" i="9"/>
  <c r="C65" i="9" s="1"/>
  <c r="D90" i="9" s="1"/>
  <c r="E90" i="9" s="1"/>
  <c r="C15" i="9"/>
  <c r="C76" i="9"/>
  <c r="F24" i="9"/>
  <c r="G24" i="9" s="1"/>
  <c r="F25" i="9"/>
  <c r="G25" i="9" s="1"/>
  <c r="D26" i="9"/>
  <c r="D27" i="9" s="1"/>
  <c r="H25" i="8"/>
  <c r="J25" i="8" s="1"/>
  <c r="K25" i="8" s="1"/>
  <c r="J45" i="8" s="1"/>
  <c r="H23" i="8"/>
  <c r="G25" i="8"/>
  <c r="H24" i="8"/>
  <c r="I25" i="8"/>
  <c r="I26" i="8" s="1"/>
  <c r="I27" i="8" s="1"/>
  <c r="J41" i="8" s="1"/>
  <c r="G24" i="8"/>
  <c r="K7" i="5"/>
  <c r="J12" i="8"/>
  <c r="G15" i="8" s="1"/>
  <c r="G16" i="8" s="1"/>
  <c r="C75" i="9"/>
  <c r="D79" i="9" s="1"/>
  <c r="G72" i="9"/>
  <c r="F72" i="9"/>
  <c r="C66" i="9"/>
  <c r="N49" i="14"/>
  <c r="Q49" i="14"/>
  <c r="S49" i="14"/>
  <c r="T49" i="14"/>
  <c r="O49" i="14"/>
  <c r="P49" i="14"/>
  <c r="R49" i="14"/>
  <c r="I3" i="5"/>
  <c r="I4" i="5"/>
  <c r="I5" i="5"/>
  <c r="I6" i="5"/>
  <c r="I7" i="5"/>
  <c r="L7" i="5" s="1"/>
  <c r="I8" i="5"/>
  <c r="I9" i="5"/>
  <c r="I10" i="5"/>
  <c r="H3" i="5"/>
  <c r="H4" i="5"/>
  <c r="H5" i="5"/>
  <c r="H6" i="5"/>
  <c r="H8" i="5"/>
  <c r="H9" i="5"/>
  <c r="H10" i="5"/>
  <c r="H11" i="5"/>
  <c r="G3" i="5"/>
  <c r="G4" i="5"/>
  <c r="G5" i="5"/>
  <c r="G6" i="5"/>
  <c r="G8" i="5"/>
  <c r="G9" i="5"/>
  <c r="J9" i="5" s="1"/>
  <c r="G25" i="5" s="1"/>
  <c r="G10" i="5"/>
  <c r="G11" i="5"/>
  <c r="L35" i="3"/>
  <c r="L34" i="3"/>
  <c r="L33" i="3"/>
  <c r="L31" i="3"/>
  <c r="L32" i="3"/>
  <c r="K3" i="3"/>
  <c r="G13" i="3"/>
  <c r="I13" i="3"/>
  <c r="I12" i="3"/>
  <c r="H12" i="3"/>
  <c r="H13" i="3" s="1"/>
  <c r="G12" i="3"/>
  <c r="L3" i="3"/>
  <c r="L4" i="3"/>
  <c r="L5" i="3"/>
  <c r="L6" i="3"/>
  <c r="L7" i="3"/>
  <c r="L8" i="3"/>
  <c r="L9" i="3"/>
  <c r="L10" i="3"/>
  <c r="L11" i="3"/>
  <c r="K4" i="3"/>
  <c r="K5" i="3"/>
  <c r="K6" i="3"/>
  <c r="K7" i="3"/>
  <c r="K8" i="3"/>
  <c r="K9" i="3"/>
  <c r="K10" i="3"/>
  <c r="K11" i="3"/>
  <c r="J3" i="3"/>
  <c r="G23" i="3" s="1"/>
  <c r="J4" i="3"/>
  <c r="H23" i="3" s="1"/>
  <c r="J5" i="3"/>
  <c r="I23" i="3" s="1"/>
  <c r="J6" i="3"/>
  <c r="G24" i="3" s="1"/>
  <c r="J7" i="3"/>
  <c r="H24" i="3" s="1"/>
  <c r="J8" i="3"/>
  <c r="I24" i="3" s="1"/>
  <c r="J9" i="3"/>
  <c r="G25" i="3" s="1"/>
  <c r="J10" i="3"/>
  <c r="H25" i="3" s="1"/>
  <c r="J11" i="3"/>
  <c r="I25" i="3" s="1"/>
  <c r="K23" i="7" l="1"/>
  <c r="J43" i="7" s="1"/>
  <c r="J26" i="7"/>
  <c r="L15" i="7"/>
  <c r="H32" i="7" s="1"/>
  <c r="I32" i="7" s="1"/>
  <c r="J32" i="7" s="1"/>
  <c r="M32" i="7" s="1"/>
  <c r="H26" i="7"/>
  <c r="H27" i="7" s="1"/>
  <c r="J40" i="7" s="1"/>
  <c r="I26" i="7"/>
  <c r="I27" i="7" s="1"/>
  <c r="J41" i="7" s="1"/>
  <c r="H36" i="7"/>
  <c r="I36" i="7" s="1"/>
  <c r="G19" i="7"/>
  <c r="H35" i="7" s="1"/>
  <c r="I35" i="7" s="1"/>
  <c r="H31" i="7"/>
  <c r="I31" i="7" s="1"/>
  <c r="J30" i="7"/>
  <c r="M30" i="7" s="1"/>
  <c r="L4" i="6"/>
  <c r="H23" i="6"/>
  <c r="L3" i="6"/>
  <c r="G23" i="6"/>
  <c r="J12" i="6"/>
  <c r="G15" i="6" s="1"/>
  <c r="L8" i="6"/>
  <c r="I24" i="6"/>
  <c r="J24" i="6" s="1"/>
  <c r="K24" i="6" s="1"/>
  <c r="J45" i="6" s="1"/>
  <c r="L7" i="6"/>
  <c r="H24" i="6"/>
  <c r="H26" i="6"/>
  <c r="H27" i="6" s="1"/>
  <c r="J41" i="6" s="1"/>
  <c r="L11" i="6"/>
  <c r="I25" i="6"/>
  <c r="J25" i="6" s="1"/>
  <c r="K25" i="6" s="1"/>
  <c r="J46" i="6" s="1"/>
  <c r="H26" i="3"/>
  <c r="H27" i="3" s="1"/>
  <c r="J41" i="3" s="1"/>
  <c r="J25" i="3"/>
  <c r="K25" i="3" s="1"/>
  <c r="J46" i="3" s="1"/>
  <c r="I26" i="3"/>
  <c r="I27" i="3" s="1"/>
  <c r="J42" i="3" s="1"/>
  <c r="G26" i="3"/>
  <c r="J23" i="3"/>
  <c r="J24" i="3"/>
  <c r="K24" i="3" s="1"/>
  <c r="J45" i="3" s="1"/>
  <c r="H15" i="9"/>
  <c r="D32" i="9" s="1"/>
  <c r="E32" i="9" s="1"/>
  <c r="C16" i="9"/>
  <c r="H16" i="9"/>
  <c r="D33" i="9" s="1"/>
  <c r="E33" i="9" s="1"/>
  <c r="C18" i="9"/>
  <c r="C17" i="9"/>
  <c r="D30" i="9" s="1"/>
  <c r="E30" i="9" s="1"/>
  <c r="C67" i="9"/>
  <c r="F26" i="9"/>
  <c r="H26" i="8"/>
  <c r="H27" i="8" s="1"/>
  <c r="J40" i="8" s="1"/>
  <c r="J24" i="8"/>
  <c r="K24" i="8" s="1"/>
  <c r="J44" i="8" s="1"/>
  <c r="G26" i="8"/>
  <c r="G27" i="8" s="1"/>
  <c r="H36" i="8"/>
  <c r="I36" i="8" s="1"/>
  <c r="G17" i="8"/>
  <c r="H30" i="8" s="1"/>
  <c r="I30" i="8" s="1"/>
  <c r="J23" i="8"/>
  <c r="G18" i="8"/>
  <c r="K10" i="5"/>
  <c r="J10" i="5"/>
  <c r="H25" i="5" s="1"/>
  <c r="J25" i="5" s="1"/>
  <c r="K25" i="5" s="1"/>
  <c r="J46" i="5" s="1"/>
  <c r="L10" i="5"/>
  <c r="L9" i="5"/>
  <c r="K9" i="5"/>
  <c r="L4" i="5"/>
  <c r="K4" i="5"/>
  <c r="J4" i="5"/>
  <c r="H23" i="5" s="1"/>
  <c r="K8" i="5"/>
  <c r="J8" i="5"/>
  <c r="I24" i="5" s="1"/>
  <c r="L8" i="5"/>
  <c r="L3" i="5"/>
  <c r="G12" i="5"/>
  <c r="K3" i="5"/>
  <c r="J3" i="5"/>
  <c r="G23" i="5" s="1"/>
  <c r="G13" i="5"/>
  <c r="H13" i="5"/>
  <c r="H12" i="5"/>
  <c r="I13" i="5"/>
  <c r="I12" i="5"/>
  <c r="J7" i="5"/>
  <c r="H24" i="5" s="1"/>
  <c r="J5" i="5"/>
  <c r="I23" i="5" s="1"/>
  <c r="L5" i="5"/>
  <c r="K5" i="5"/>
  <c r="L11" i="5"/>
  <c r="K11" i="5"/>
  <c r="J11" i="5"/>
  <c r="I25" i="5" s="1"/>
  <c r="K6" i="5"/>
  <c r="L6" i="5"/>
  <c r="J6" i="5"/>
  <c r="G24" i="5" s="1"/>
  <c r="J24" i="5" s="1"/>
  <c r="K24" i="5" s="1"/>
  <c r="J45" i="5" s="1"/>
  <c r="F75" i="9"/>
  <c r="D78" i="9"/>
  <c r="D80" i="9"/>
  <c r="J12" i="3"/>
  <c r="G15" i="3" s="1"/>
  <c r="G17" i="3" s="1"/>
  <c r="L16" i="7" l="1"/>
  <c r="G39" i="7"/>
  <c r="G41" i="7" s="1"/>
  <c r="J31" i="7"/>
  <c r="M31" i="7" s="1"/>
  <c r="J23" i="6"/>
  <c r="G26" i="6"/>
  <c r="G27" i="6" s="1"/>
  <c r="J40" i="6" s="1"/>
  <c r="I26" i="6"/>
  <c r="I27" i="6" s="1"/>
  <c r="J42" i="6" s="1"/>
  <c r="G16" i="6"/>
  <c r="G17" i="6"/>
  <c r="H31" i="6" s="1"/>
  <c r="I31" i="6" s="1"/>
  <c r="G18" i="6"/>
  <c r="L15" i="6"/>
  <c r="J23" i="5"/>
  <c r="G26" i="5"/>
  <c r="G27" i="5" s="1"/>
  <c r="J40" i="5" s="1"/>
  <c r="I26" i="5"/>
  <c r="I27" i="5" s="1"/>
  <c r="J42" i="5" s="1"/>
  <c r="H26" i="5"/>
  <c r="H27" i="5" s="1"/>
  <c r="J41" i="5" s="1"/>
  <c r="G27" i="3"/>
  <c r="J40" i="3" s="1"/>
  <c r="L16" i="3"/>
  <c r="H33" i="3" s="1"/>
  <c r="G18" i="3"/>
  <c r="L17" i="3" s="1"/>
  <c r="G16" i="3"/>
  <c r="H37" i="3" s="1"/>
  <c r="I37" i="3" s="1"/>
  <c r="L15" i="3"/>
  <c r="H34" i="3" s="1"/>
  <c r="I34" i="3" s="1"/>
  <c r="K23" i="3"/>
  <c r="J44" i="3" s="1"/>
  <c r="J26" i="3"/>
  <c r="C19" i="9"/>
  <c r="D35" i="9" s="1"/>
  <c r="E35" i="9" s="1"/>
  <c r="F32" i="9" s="1"/>
  <c r="I32" i="9" s="1"/>
  <c r="D36" i="9"/>
  <c r="E36" i="9" s="1"/>
  <c r="H17" i="9"/>
  <c r="D34" i="9" s="1"/>
  <c r="E34" i="9" s="1"/>
  <c r="F34" i="9" s="1"/>
  <c r="I34" i="9" s="1"/>
  <c r="D31" i="9"/>
  <c r="E31" i="9" s="1"/>
  <c r="K23" i="8"/>
  <c r="J43" i="8" s="1"/>
  <c r="L15" i="8"/>
  <c r="H32" i="8" s="1"/>
  <c r="I32" i="8" s="1"/>
  <c r="J26" i="8"/>
  <c r="H31" i="8"/>
  <c r="I31" i="8" s="1"/>
  <c r="J39" i="8"/>
  <c r="L16" i="8"/>
  <c r="H33" i="8" s="1"/>
  <c r="I33" i="8" s="1"/>
  <c r="G19" i="8"/>
  <c r="H35" i="8" s="1"/>
  <c r="I35" i="8" s="1"/>
  <c r="I33" i="3"/>
  <c r="J12" i="5"/>
  <c r="G15" i="5" s="1"/>
  <c r="D86" i="9"/>
  <c r="E86" i="9" s="1"/>
  <c r="D87" i="9"/>
  <c r="E87" i="9" s="1"/>
  <c r="D84" i="9"/>
  <c r="E84" i="9" s="1"/>
  <c r="H31" i="3"/>
  <c r="I31" i="3" s="1"/>
  <c r="F30" i="9" l="1"/>
  <c r="I30" i="9" s="1"/>
  <c r="G39" i="8"/>
  <c r="G41" i="8" s="1"/>
  <c r="J42" i="7"/>
  <c r="L39" i="7"/>
  <c r="L43" i="7"/>
  <c r="H33" i="7"/>
  <c r="I33" i="7" s="1"/>
  <c r="J33" i="7" s="1"/>
  <c r="M33" i="7" s="1"/>
  <c r="L17" i="7"/>
  <c r="H34" i="7" s="1"/>
  <c r="I34" i="7" s="1"/>
  <c r="J34" i="7" s="1"/>
  <c r="M34" i="7" s="1"/>
  <c r="G19" i="6"/>
  <c r="H36" i="6" s="1"/>
  <c r="I36" i="6" s="1"/>
  <c r="G40" i="6" s="1"/>
  <c r="G42" i="6" s="1"/>
  <c r="H37" i="6"/>
  <c r="I37" i="6" s="1"/>
  <c r="H32" i="6"/>
  <c r="I32" i="6" s="1"/>
  <c r="H33" i="6"/>
  <c r="I33" i="6" s="1"/>
  <c r="J33" i="6" s="1"/>
  <c r="M33" i="6" s="1"/>
  <c r="L16" i="6"/>
  <c r="L17" i="6" s="1"/>
  <c r="H35" i="6" s="1"/>
  <c r="I35" i="6" s="1"/>
  <c r="J35" i="6" s="1"/>
  <c r="M35" i="6" s="1"/>
  <c r="K23" i="6"/>
  <c r="J44" i="6" s="1"/>
  <c r="L44" i="6" s="1"/>
  <c r="J26" i="6"/>
  <c r="G17" i="5"/>
  <c r="H31" i="5" s="1"/>
  <c r="L16" i="5"/>
  <c r="H34" i="5" s="1"/>
  <c r="L15" i="5"/>
  <c r="H33" i="5" s="1"/>
  <c r="G18" i="5"/>
  <c r="H32" i="5" s="1"/>
  <c r="K23" i="5"/>
  <c r="J44" i="5" s="1"/>
  <c r="J26" i="5"/>
  <c r="G19" i="3"/>
  <c r="F31" i="9"/>
  <c r="I31" i="9" s="1"/>
  <c r="F33" i="9"/>
  <c r="I33" i="9" s="1"/>
  <c r="J32" i="8"/>
  <c r="M32" i="8" s="1"/>
  <c r="J33" i="8"/>
  <c r="M33" i="8" s="1"/>
  <c r="L17" i="8"/>
  <c r="H34" i="8" s="1"/>
  <c r="I34" i="8" s="1"/>
  <c r="J34" i="8" s="1"/>
  <c r="M34" i="8" s="1"/>
  <c r="J31" i="8"/>
  <c r="M31" i="8" s="1"/>
  <c r="J30" i="8"/>
  <c r="M30" i="8" s="1"/>
  <c r="G16" i="5"/>
  <c r="H37" i="5" s="1"/>
  <c r="I33" i="5"/>
  <c r="I31" i="5"/>
  <c r="H35" i="3"/>
  <c r="I35" i="3" s="1"/>
  <c r="H32" i="3"/>
  <c r="I32" i="3" s="1"/>
  <c r="J32" i="3" s="1"/>
  <c r="M32" i="3" s="1"/>
  <c r="D85" i="9"/>
  <c r="E85" i="9" s="1"/>
  <c r="C68" i="9"/>
  <c r="D89" i="9" s="1"/>
  <c r="E89" i="9" s="1"/>
  <c r="F87" i="9" s="1"/>
  <c r="H36" i="3"/>
  <c r="I36" i="3" s="1"/>
  <c r="F85" i="9" l="1"/>
  <c r="J42" i="8"/>
  <c r="L43" i="8"/>
  <c r="L39" i="8"/>
  <c r="J43" i="6"/>
  <c r="L41" i="6"/>
  <c r="L42" i="6"/>
  <c r="H34" i="6"/>
  <c r="I34" i="6" s="1"/>
  <c r="J34" i="6" s="1"/>
  <c r="M34" i="6" s="1"/>
  <c r="J32" i="6"/>
  <c r="M32" i="6" s="1"/>
  <c r="J31" i="6"/>
  <c r="M31" i="6" s="1"/>
  <c r="G40" i="3"/>
  <c r="G42" i="3" s="1"/>
  <c r="J34" i="3"/>
  <c r="M34" i="3" s="1"/>
  <c r="F86" i="9"/>
  <c r="F84" i="9"/>
  <c r="I84" i="9" s="1"/>
  <c r="I34" i="5"/>
  <c r="L17" i="5"/>
  <c r="I32" i="5"/>
  <c r="G19" i="5"/>
  <c r="I37" i="5"/>
  <c r="J35" i="3"/>
  <c r="M35" i="3" s="1"/>
  <c r="J33" i="3"/>
  <c r="M33" i="3" s="1"/>
  <c r="J31" i="3"/>
  <c r="M31" i="3" s="1"/>
  <c r="D88" i="9"/>
  <c r="E88" i="9" s="1"/>
  <c r="F88" i="9" s="1"/>
  <c r="I85" i="9"/>
  <c r="L46" i="3" l="1"/>
  <c r="L42" i="3"/>
  <c r="J47" i="3"/>
  <c r="H36" i="5"/>
  <c r="I36" i="5" s="1"/>
  <c r="G40" i="5" s="1"/>
  <c r="H35" i="5"/>
  <c r="I35" i="5" s="1"/>
  <c r="I87" i="9"/>
  <c r="I86" i="9"/>
  <c r="I88" i="9"/>
  <c r="I13" i="2"/>
  <c r="H13" i="2"/>
  <c r="G13" i="2"/>
  <c r="I12" i="2"/>
  <c r="H12" i="2"/>
  <c r="G12" i="2"/>
  <c r="K3" i="2"/>
  <c r="K4" i="2"/>
  <c r="K5" i="2"/>
  <c r="K6" i="2"/>
  <c r="K7" i="2"/>
  <c r="K8" i="2"/>
  <c r="K9" i="2"/>
  <c r="K10" i="2"/>
  <c r="K11" i="2"/>
  <c r="J3" i="2"/>
  <c r="J4" i="2"/>
  <c r="H23" i="2" s="1"/>
  <c r="J5" i="2"/>
  <c r="I23" i="2" s="1"/>
  <c r="J6" i="2"/>
  <c r="G24" i="2" s="1"/>
  <c r="J7" i="2"/>
  <c r="H24" i="2" s="1"/>
  <c r="J8" i="2"/>
  <c r="I24" i="2" s="1"/>
  <c r="J9" i="2"/>
  <c r="G25" i="2" s="1"/>
  <c r="J10" i="2"/>
  <c r="H25" i="2" s="1"/>
  <c r="J11" i="2"/>
  <c r="I25" i="2" s="1"/>
  <c r="J25" i="2" l="1"/>
  <c r="K25" i="2" s="1"/>
  <c r="I26" i="2"/>
  <c r="I27" i="2" s="1"/>
  <c r="J32" i="5"/>
  <c r="M32" i="5" s="1"/>
  <c r="G42" i="5"/>
  <c r="J33" i="5"/>
  <c r="M33" i="5" s="1"/>
  <c r="J31" i="5"/>
  <c r="M31" i="5" s="1"/>
  <c r="J34" i="5"/>
  <c r="M34" i="5" s="1"/>
  <c r="J35" i="5"/>
  <c r="M35" i="5" s="1"/>
  <c r="J24" i="2"/>
  <c r="K24" i="2" s="1"/>
  <c r="H26" i="2"/>
  <c r="H27" i="2" s="1"/>
  <c r="G23" i="2"/>
  <c r="J12" i="2"/>
  <c r="G15" i="2" s="1"/>
  <c r="G18" i="2" s="1"/>
  <c r="N4" i="1"/>
  <c r="N5" i="1"/>
  <c r="N6" i="1"/>
  <c r="N7" i="1"/>
  <c r="N8" i="1"/>
  <c r="N9" i="1"/>
  <c r="N10" i="1"/>
  <c r="N11" i="1"/>
  <c r="L42" i="5" l="1"/>
  <c r="L41" i="5"/>
  <c r="J43" i="5"/>
  <c r="L44" i="5"/>
  <c r="H32" i="2"/>
  <c r="I32" i="2" s="1"/>
  <c r="G16" i="2"/>
  <c r="G17" i="2"/>
  <c r="H31" i="2" s="1"/>
  <c r="I31" i="2" s="1"/>
  <c r="J23" i="2"/>
  <c r="G26" i="2"/>
  <c r="K12" i="1"/>
  <c r="K13" i="1" s="1"/>
  <c r="J12" i="1"/>
  <c r="J13" i="1" s="1"/>
  <c r="I12" i="1"/>
  <c r="N12" i="1" s="1"/>
  <c r="L3" i="1"/>
  <c r="L4" i="1"/>
  <c r="L5" i="1"/>
  <c r="L6" i="1"/>
  <c r="L7" i="1"/>
  <c r="L8" i="1"/>
  <c r="L9" i="1"/>
  <c r="L10" i="1"/>
  <c r="L11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" i="1"/>
  <c r="M10" i="1" l="1"/>
  <c r="J25" i="1"/>
  <c r="M6" i="1"/>
  <c r="I24" i="1"/>
  <c r="M9" i="1"/>
  <c r="I25" i="1"/>
  <c r="M5" i="1"/>
  <c r="K23" i="1"/>
  <c r="K26" i="1" s="1"/>
  <c r="K27" i="1" s="1"/>
  <c r="M8" i="1"/>
  <c r="K24" i="1"/>
  <c r="M4" i="1"/>
  <c r="J23" i="1"/>
  <c r="M11" i="1"/>
  <c r="K25" i="1"/>
  <c r="M7" i="1"/>
  <c r="J24" i="1"/>
  <c r="M3" i="1"/>
  <c r="I23" i="1"/>
  <c r="G27" i="2"/>
  <c r="L16" i="2"/>
  <c r="L15" i="2"/>
  <c r="H33" i="2" s="1"/>
  <c r="I33" i="2" s="1"/>
  <c r="J26" i="2"/>
  <c r="K23" i="2"/>
  <c r="H37" i="2"/>
  <c r="I37" i="2" s="1"/>
  <c r="G19" i="2"/>
  <c r="H36" i="2" s="1"/>
  <c r="I36" i="2" s="1"/>
  <c r="G40" i="2" s="1"/>
  <c r="I13" i="1"/>
  <c r="L12" i="1"/>
  <c r="I15" i="1" s="1"/>
  <c r="I18" i="1" s="1"/>
  <c r="J32" i="2" l="1"/>
  <c r="M32" i="2" s="1"/>
  <c r="L25" i="1"/>
  <c r="M25" i="1" s="1"/>
  <c r="J26" i="1"/>
  <c r="J27" i="1" s="1"/>
  <c r="L24" i="1"/>
  <c r="M24" i="1" s="1"/>
  <c r="J32" i="1"/>
  <c r="K32" i="1" s="1"/>
  <c r="I26" i="1"/>
  <c r="L23" i="1"/>
  <c r="I16" i="1"/>
  <c r="I17" i="1"/>
  <c r="J31" i="1" s="1"/>
  <c r="K31" i="1" s="1"/>
  <c r="H34" i="2"/>
  <c r="I34" i="2" s="1"/>
  <c r="J34" i="2" s="1"/>
  <c r="M34" i="2" s="1"/>
  <c r="L17" i="2"/>
  <c r="H35" i="2" s="1"/>
  <c r="I35" i="2" s="1"/>
  <c r="J35" i="2" s="1"/>
  <c r="M35" i="2" s="1"/>
  <c r="J31" i="2"/>
  <c r="M31" i="2" s="1"/>
  <c r="J33" i="2"/>
  <c r="M33" i="2" s="1"/>
  <c r="N15" i="1" l="1"/>
  <c r="J33" i="1" s="1"/>
  <c r="K33" i="1" s="1"/>
  <c r="L26" i="1"/>
  <c r="M23" i="1"/>
  <c r="I27" i="1"/>
  <c r="N16" i="1"/>
  <c r="J37" i="1"/>
  <c r="K37" i="1" s="1"/>
  <c r="I19" i="1"/>
  <c r="J36" i="1" s="1"/>
  <c r="K36" i="1" s="1"/>
  <c r="K50" i="1" l="1"/>
  <c r="K43" i="1"/>
  <c r="K47" i="1"/>
  <c r="K48" i="1"/>
  <c r="K42" i="1"/>
  <c r="K44" i="1"/>
  <c r="K45" i="1"/>
  <c r="K46" i="1"/>
  <c r="K49" i="1"/>
  <c r="L31" i="1"/>
  <c r="O31" i="1" s="1"/>
  <c r="L32" i="1"/>
  <c r="O32" i="1" s="1"/>
  <c r="J34" i="1"/>
  <c r="K34" i="1" s="1"/>
  <c r="L34" i="1" s="1"/>
  <c r="O34" i="1" s="1"/>
  <c r="N17" i="1"/>
  <c r="J35" i="1" s="1"/>
  <c r="K35" i="1" s="1"/>
  <c r="L35" i="1" s="1"/>
  <c r="O35" i="1" s="1"/>
  <c r="L33" i="1"/>
  <c r="O33" i="1" s="1"/>
</calcChain>
</file>

<file path=xl/sharedStrings.xml><?xml version="1.0" encoding="utf-8"?>
<sst xmlns="http://schemas.openxmlformats.org/spreadsheetml/2006/main" count="1771" uniqueCount="263">
  <si>
    <t>60 10 u1</t>
  </si>
  <si>
    <t>60 10 u2</t>
  </si>
  <si>
    <t>70 10 u1</t>
  </si>
  <si>
    <t>70 10 U2</t>
  </si>
  <si>
    <t>70 10 U3</t>
  </si>
  <si>
    <t>80 10 U1</t>
  </si>
  <si>
    <t>80 10 U2</t>
  </si>
  <si>
    <t>80 10 U3</t>
  </si>
  <si>
    <t>60 15 U1</t>
  </si>
  <si>
    <t>60 15 U2</t>
  </si>
  <si>
    <t>60 15 U3</t>
  </si>
  <si>
    <t xml:space="preserve">70 15 U1 </t>
  </si>
  <si>
    <t>70 15 U2</t>
  </si>
  <si>
    <t>70 15 U3</t>
  </si>
  <si>
    <t>80 15 U3</t>
  </si>
  <si>
    <t>80 15 U1</t>
  </si>
  <si>
    <t>80 15 U2</t>
  </si>
  <si>
    <t>60 20 U1</t>
  </si>
  <si>
    <t>60 20 U2</t>
  </si>
  <si>
    <t>60 20 U3</t>
  </si>
  <si>
    <t>70 20 U1</t>
  </si>
  <si>
    <t>70 20 U2</t>
  </si>
  <si>
    <t>70 20 U3</t>
  </si>
  <si>
    <t>80 20 U1</t>
  </si>
  <si>
    <t>80 20 U2</t>
  </si>
  <si>
    <t>80 20 U3</t>
  </si>
  <si>
    <t>HITUNGAN</t>
  </si>
  <si>
    <t>TOTAL ASAM</t>
  </si>
  <si>
    <t>PH</t>
  </si>
  <si>
    <t>60 10 U1</t>
  </si>
  <si>
    <t>60 10 U2</t>
  </si>
  <si>
    <t>60 10 U3</t>
  </si>
  <si>
    <t>70 10 U1</t>
  </si>
  <si>
    <t>70 15 U1</t>
  </si>
  <si>
    <t>VISKOSITAS</t>
  </si>
  <si>
    <t>WARNA</t>
  </si>
  <si>
    <t>TPT</t>
  </si>
  <si>
    <t>Column1</t>
  </si>
  <si>
    <t>L</t>
  </si>
  <si>
    <t>A</t>
  </si>
  <si>
    <t>B</t>
  </si>
  <si>
    <t>Perlakuan</t>
  </si>
  <si>
    <t>U1</t>
  </si>
  <si>
    <t>U2</t>
  </si>
  <si>
    <t>U3</t>
  </si>
  <si>
    <t>S1M1</t>
  </si>
  <si>
    <t>S2M1</t>
  </si>
  <si>
    <t>S3M1</t>
  </si>
  <si>
    <t>S1M2</t>
  </si>
  <si>
    <t>S2M2</t>
  </si>
  <si>
    <t>S3M2</t>
  </si>
  <si>
    <t>S1M3</t>
  </si>
  <si>
    <t>S2M3</t>
  </si>
  <si>
    <t>S3M3</t>
  </si>
  <si>
    <t>Total</t>
  </si>
  <si>
    <t>Rata2</t>
  </si>
  <si>
    <t>TOTAL</t>
  </si>
  <si>
    <t>RATA2</t>
  </si>
  <si>
    <t>FK</t>
  </si>
  <si>
    <t>JKT</t>
  </si>
  <si>
    <t>JKK</t>
  </si>
  <si>
    <t>JKP</t>
  </si>
  <si>
    <t>JKG</t>
  </si>
  <si>
    <t>t</t>
  </si>
  <si>
    <t>n</t>
  </si>
  <si>
    <t>M1</t>
  </si>
  <si>
    <t>M2</t>
  </si>
  <si>
    <t>M3</t>
  </si>
  <si>
    <t>Rata-rata</t>
  </si>
  <si>
    <t>S1</t>
  </si>
  <si>
    <t>S2</t>
  </si>
  <si>
    <t>S3</t>
  </si>
  <si>
    <t>J.K.M</t>
  </si>
  <si>
    <t>TABEL ANOVA</t>
  </si>
  <si>
    <t>Sumber Variasi</t>
  </si>
  <si>
    <t>T</t>
  </si>
  <si>
    <t>M</t>
  </si>
  <si>
    <t>d.b</t>
  </si>
  <si>
    <t>J.K</t>
  </si>
  <si>
    <t>K.T</t>
  </si>
  <si>
    <t>F hitung</t>
  </si>
  <si>
    <t>F tabel 5%</t>
  </si>
  <si>
    <t>F tabel 1%</t>
  </si>
  <si>
    <t>Notasi</t>
  </si>
  <si>
    <t>tn</t>
  </si>
  <si>
    <t>BNJ</t>
  </si>
  <si>
    <t>notasi</t>
  </si>
  <si>
    <t>a</t>
  </si>
  <si>
    <t>b</t>
  </si>
  <si>
    <t>c</t>
  </si>
  <si>
    <t>ab</t>
  </si>
  <si>
    <t>TABEL DUA ARAH</t>
  </si>
  <si>
    <t>Stdev</t>
  </si>
  <si>
    <t>Rerata</t>
  </si>
  <si>
    <t>Stedev</t>
  </si>
  <si>
    <t>Kelompok</t>
  </si>
  <si>
    <t>Galat</t>
  </si>
  <si>
    <t>Uji Lanjut</t>
  </si>
  <si>
    <t>T X M</t>
  </si>
  <si>
    <t xml:space="preserve">TABEL ANOVA </t>
  </si>
  <si>
    <t xml:space="preserve">titik kritis </t>
  </si>
  <si>
    <r>
      <t>S3M3 (Suhu 80</t>
    </r>
    <r>
      <rPr>
        <sz val="11"/>
        <color theme="1"/>
        <rFont val="Times New Roman"/>
        <family val="1"/>
      </rPr>
      <t>℃</t>
    </r>
    <r>
      <rPr>
        <sz val="11"/>
        <color theme="1"/>
        <rFont val="Calibri"/>
        <family val="2"/>
      </rPr>
      <t xml:space="preserve"> : Waktu 20 menit)</t>
    </r>
  </si>
  <si>
    <r>
      <t>S2M3 (Suhu 70</t>
    </r>
    <r>
      <rPr>
        <sz val="11"/>
        <color theme="1"/>
        <rFont val="Times New Roman"/>
        <family val="1"/>
      </rPr>
      <t>℃</t>
    </r>
    <r>
      <rPr>
        <sz val="11"/>
        <color theme="1"/>
        <rFont val="Calibri"/>
        <family val="2"/>
      </rPr>
      <t xml:space="preserve"> : Waktu 20 menit)</t>
    </r>
  </si>
  <si>
    <r>
      <t>S1M3 (Suhu 60</t>
    </r>
    <r>
      <rPr>
        <sz val="11"/>
        <color theme="1"/>
        <rFont val="Times New Roman"/>
        <family val="1"/>
      </rPr>
      <t>℃</t>
    </r>
    <r>
      <rPr>
        <sz val="11"/>
        <color theme="1"/>
        <rFont val="Calibri"/>
        <family val="2"/>
      </rPr>
      <t xml:space="preserve"> : Waktu 20 menit)</t>
    </r>
  </si>
  <si>
    <r>
      <t>S3M2 (Suhu 80</t>
    </r>
    <r>
      <rPr>
        <sz val="11"/>
        <color theme="1"/>
        <rFont val="Times New Roman"/>
        <family val="1"/>
      </rPr>
      <t>℃</t>
    </r>
    <r>
      <rPr>
        <sz val="11"/>
        <color theme="1"/>
        <rFont val="Calibri"/>
        <family val="2"/>
      </rPr>
      <t xml:space="preserve"> : Waktu 15 menit)</t>
    </r>
  </si>
  <si>
    <r>
      <t>S2M2 (Suhu 70</t>
    </r>
    <r>
      <rPr>
        <sz val="11"/>
        <color theme="1"/>
        <rFont val="Times New Roman"/>
        <family val="1"/>
      </rPr>
      <t>℃</t>
    </r>
    <r>
      <rPr>
        <sz val="11"/>
        <color theme="1"/>
        <rFont val="Calibri"/>
        <family val="2"/>
      </rPr>
      <t xml:space="preserve"> : Waktu 15 menit)</t>
    </r>
  </si>
  <si>
    <r>
      <t>S1M2 (Suhu 60</t>
    </r>
    <r>
      <rPr>
        <sz val="11"/>
        <color theme="1"/>
        <rFont val="Times New Roman"/>
        <family val="1"/>
      </rPr>
      <t>℃</t>
    </r>
    <r>
      <rPr>
        <sz val="11"/>
        <color theme="1"/>
        <rFont val="Calibri"/>
        <family val="2"/>
      </rPr>
      <t xml:space="preserve"> : Waktu 15 menit)</t>
    </r>
  </si>
  <si>
    <r>
      <t>S3M1 (Suhu 80</t>
    </r>
    <r>
      <rPr>
        <sz val="11"/>
        <color theme="1"/>
        <rFont val="Times New Roman"/>
        <family val="1"/>
      </rPr>
      <t>℃</t>
    </r>
    <r>
      <rPr>
        <sz val="11"/>
        <color theme="1"/>
        <rFont val="Calibri"/>
        <family val="2"/>
      </rPr>
      <t xml:space="preserve"> : Waktu 10 menit)</t>
    </r>
  </si>
  <si>
    <r>
      <t>S2M1 (Suhu 70</t>
    </r>
    <r>
      <rPr>
        <sz val="11"/>
        <color theme="1"/>
        <rFont val="Times New Roman"/>
        <family val="1"/>
      </rPr>
      <t>℃</t>
    </r>
    <r>
      <rPr>
        <sz val="11"/>
        <color theme="1"/>
        <rFont val="Calibri"/>
        <family val="2"/>
      </rPr>
      <t xml:space="preserve"> : Waktu 10 menit)</t>
    </r>
  </si>
  <si>
    <t>T&lt;X2</t>
  </si>
  <si>
    <r>
      <t>S1M1(Suhu 60</t>
    </r>
    <r>
      <rPr>
        <sz val="11"/>
        <color theme="1"/>
        <rFont val="Times New Roman"/>
        <family val="1"/>
      </rPr>
      <t>℃ : Waktu 10 menit)</t>
    </r>
  </si>
  <si>
    <t>X2</t>
  </si>
  <si>
    <t>t rangking</t>
  </si>
  <si>
    <t xml:space="preserve">rerata  </t>
  </si>
  <si>
    <t xml:space="preserve">Perlakuan </t>
  </si>
  <si>
    <t>Putra</t>
  </si>
  <si>
    <t>Yulia</t>
  </si>
  <si>
    <t>Iqbal</t>
  </si>
  <si>
    <t>Angel</t>
  </si>
  <si>
    <t>Tata</t>
  </si>
  <si>
    <t>Adiba</t>
  </si>
  <si>
    <t>Aziz</t>
  </si>
  <si>
    <t>Rania</t>
  </si>
  <si>
    <t>Fany</t>
  </si>
  <si>
    <t>Selivana</t>
  </si>
  <si>
    <t>Rizky</t>
  </si>
  <si>
    <t>Yuana</t>
  </si>
  <si>
    <t>Izmy</t>
  </si>
  <si>
    <t>Azizah</t>
  </si>
  <si>
    <t>Vilany</t>
  </si>
  <si>
    <t>Hasan</t>
  </si>
  <si>
    <t>Aulia</t>
  </si>
  <si>
    <t>Berinda</t>
  </si>
  <si>
    <t>Mbak Nab</t>
  </si>
  <si>
    <t>Baktiar</t>
  </si>
  <si>
    <t>Nara</t>
  </si>
  <si>
    <t>Fara</t>
  </si>
  <si>
    <t>Rika</t>
  </si>
  <si>
    <t>Aji</t>
  </si>
  <si>
    <t>Indah Sari</t>
  </si>
  <si>
    <t>Allysya</t>
  </si>
  <si>
    <t>Eka</t>
  </si>
  <si>
    <t>Daffa</t>
  </si>
  <si>
    <t>Thoriq</t>
  </si>
  <si>
    <t>Devia</t>
  </si>
  <si>
    <t>112</t>
  </si>
  <si>
    <t>321</t>
  </si>
  <si>
    <t>819</t>
  </si>
  <si>
    <t>521</t>
  </si>
  <si>
    <t>717</t>
  </si>
  <si>
    <t>221</t>
  </si>
  <si>
    <t>414</t>
  </si>
  <si>
    <t>621</t>
  </si>
  <si>
    <t>912</t>
  </si>
  <si>
    <t>Nama</t>
  </si>
  <si>
    <t>O. Rasa</t>
  </si>
  <si>
    <t>O. Tekstur</t>
  </si>
  <si>
    <t>O. Aroma</t>
  </si>
  <si>
    <t>O. Warna</t>
  </si>
  <si>
    <t>TPC</t>
  </si>
  <si>
    <t>Warna(o)</t>
  </si>
  <si>
    <t>Warna(a)</t>
  </si>
  <si>
    <t>Warna(L)</t>
  </si>
  <si>
    <t>Viskositas</t>
  </si>
  <si>
    <t>Ph</t>
  </si>
  <si>
    <t>Total asam</t>
  </si>
  <si>
    <t>Nilai Terjelek</t>
  </si>
  <si>
    <t>Nilai Terbaik</t>
  </si>
  <si>
    <t>Parameter</t>
  </si>
  <si>
    <t>Nilai</t>
  </si>
  <si>
    <t>DATA NILAI PARAMETER</t>
  </si>
  <si>
    <t>Warna(b)</t>
  </si>
  <si>
    <t>Jumlah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</si>
  <si>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</si>
  <si>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</si>
  <si>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</si>
  <si>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</si>
  <si>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</si>
  <si>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</si>
  <si>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</si>
  <si>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</si>
  <si>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</si>
  <si>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</si>
  <si>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</si>
  <si>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</si>
  <si>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</si>
  <si>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</si>
  <si>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</si>
  <si>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</si>
  <si>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</si>
  <si>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</si>
  <si>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</si>
  <si>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</si>
  <si>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</si>
  <si>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</si>
  <si>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</si>
  <si>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</si>
  <si>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</si>
  <si>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</si>
  <si>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</si>
  <si>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</si>
  <si>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</si>
  <si>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1</t>
  </si>
  <si>
    <t>PANELIS</t>
  </si>
  <si>
    <t>PERHITUNGAN BOBOT SKALA PARAMETER</t>
  </si>
  <si>
    <t>Bobot Parameter</t>
  </si>
  <si>
    <t>Selisih</t>
  </si>
  <si>
    <t>Viskositas (N)</t>
  </si>
  <si>
    <t>pH</t>
  </si>
  <si>
    <t>Warna L*</t>
  </si>
  <si>
    <t>Warna a*</t>
  </si>
  <si>
    <t>Warna b*</t>
  </si>
  <si>
    <t>Warna</t>
  </si>
  <si>
    <t>Aroma</t>
  </si>
  <si>
    <t>Rasa</t>
  </si>
  <si>
    <t>Tekstur</t>
  </si>
  <si>
    <t>M1, 10</t>
  </si>
  <si>
    <t>M2, 15</t>
  </si>
  <si>
    <t>M3, 20</t>
  </si>
  <si>
    <t>S1, 60</t>
  </si>
  <si>
    <t>S2, 70</t>
  </si>
  <si>
    <t>S3, 80</t>
  </si>
  <si>
    <t>TPT (mg/L)</t>
  </si>
  <si>
    <t>Total asam (%)</t>
  </si>
  <si>
    <r>
      <t>Total Koloni (x10</t>
    </r>
    <r>
      <rPr>
        <b/>
        <vertAlign val="superscript"/>
        <sz val="10"/>
        <color theme="1"/>
        <rFont val="Times New Roman"/>
        <family val="1"/>
      </rPr>
      <t>9</t>
    </r>
    <r>
      <rPr>
        <b/>
        <sz val="10"/>
        <color theme="1"/>
        <rFont val="Times New Roman"/>
        <family val="1"/>
      </rPr>
      <t>)</t>
    </r>
  </si>
  <si>
    <t>J.K.S</t>
  </si>
  <si>
    <t>JKS</t>
  </si>
  <si>
    <t>JKM</t>
  </si>
  <si>
    <t>J.K.Interaksi (S X M)</t>
  </si>
  <si>
    <t>SD</t>
  </si>
  <si>
    <t>BNJ Tabel 5%</t>
  </si>
  <si>
    <t>BNJ Hitung</t>
  </si>
  <si>
    <t>C1</t>
  </si>
  <si>
    <t>C2</t>
  </si>
  <si>
    <t>C3</t>
  </si>
  <si>
    <t>BNJ 5%</t>
  </si>
  <si>
    <t>L1</t>
  </si>
  <si>
    <t>L2</t>
  </si>
  <si>
    <t>L3</t>
  </si>
  <si>
    <t>S</t>
  </si>
  <si>
    <t>S X M</t>
  </si>
  <si>
    <t>J.K. Interaksi (SXM)</t>
  </si>
  <si>
    <t>Uji lanjut Faktor S</t>
  </si>
  <si>
    <t>Uji lanjut Faktor M</t>
  </si>
  <si>
    <t>JK Interaksi</t>
  </si>
  <si>
    <t>JK.M</t>
  </si>
  <si>
    <t>JK.S</t>
  </si>
  <si>
    <t>*9</t>
  </si>
  <si>
    <t>Kolom V ^2</t>
  </si>
  <si>
    <t>AE-AF</t>
  </si>
  <si>
    <t>Kolom AG /(N-1)</t>
  </si>
  <si>
    <t>Akar Kolom AH</t>
  </si>
  <si>
    <t>ketidakpastian</t>
  </si>
  <si>
    <t>Ketidakpastian relatif</t>
  </si>
  <si>
    <t>Standar Deviasi</t>
  </si>
  <si>
    <t>Interaksi</t>
  </si>
  <si>
    <t>BOBOT NORMAL</t>
  </si>
  <si>
    <t>r</t>
  </si>
  <si>
    <t>H0 diterima</t>
  </si>
  <si>
    <t>T&gt;X2</t>
  </si>
  <si>
    <t>H0 ditolak</t>
  </si>
  <si>
    <r>
      <t xml:space="preserve">artinya </t>
    </r>
    <r>
      <rPr>
        <b/>
        <sz val="11"/>
        <color theme="1"/>
        <rFont val="Calibri"/>
        <family val="2"/>
        <scheme val="minor"/>
      </rPr>
      <t>terdapat</t>
    </r>
    <r>
      <rPr>
        <sz val="11"/>
        <color theme="1"/>
        <rFont val="Calibri"/>
        <family val="2"/>
        <scheme val="minor"/>
      </rPr>
      <t xml:space="preserve"> pengaruh yang signifikan/ nyata</t>
    </r>
  </si>
  <si>
    <r>
      <t xml:space="preserve">artinya </t>
    </r>
    <r>
      <rPr>
        <b/>
        <sz val="11"/>
        <color theme="1"/>
        <rFont val="Calibri"/>
        <family val="2"/>
        <scheme val="minor"/>
      </rPr>
      <t>tidak</t>
    </r>
    <r>
      <rPr>
        <sz val="11"/>
        <color theme="1"/>
        <rFont val="Calibri"/>
        <family val="2"/>
        <scheme val="minor"/>
      </rPr>
      <t xml:space="preserve"> ada pengaruh yang signifikan/ nyata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</si>
</sst>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64" formatCode="0.0000"/>
    <numFmt numFmtId="165" formatCode="0.000"/>
    <numFmt numFmtId="166" formatCode="0.0"/>
    <numFmt numFmtId="167" formatCode="_-* #,##0.0_-;\-* #,##0.0_-;_-* &quot;-&quot;_-;_-@_-"/>
    <numFmt numFmtId="168" formatCode="_-* #,##0.00_-;\-* #,##0.00_-;_-* &quot;-&quot;_-;_-@_-"/>
    <numFmt numFmtId="169" formatCode="0.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vertAlign val="superscript"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Symbol"/>
      <family val="1"/>
      <charset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/>
        <bgColor theme="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rgb="FF7F7F7F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9"/>
      </top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41" fontId="3" fillId="0" borderId="0" applyFont="0" applyFill="0" applyBorder="0" applyAlignment="0" applyProtection="0"/>
    <xf numFmtId="0" fontId="3" fillId="2" borderId="0" applyNumberFormat="0" applyBorder="0" applyAlignment="0" applyProtection="0"/>
    <xf numFmtId="9" fontId="3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4" fillId="3" borderId="2" xfId="0" applyFont="1" applyFill="1" applyBorder="1"/>
    <xf numFmtId="0" fontId="4" fillId="3" borderId="3" xfId="0" applyFont="1" applyFill="1" applyBorder="1"/>
    <xf numFmtId="41" fontId="0" fillId="0" borderId="0" xfId="1" applyFont="1"/>
    <xf numFmtId="166" fontId="0" fillId="0" borderId="9" xfId="0" applyNumberFormat="1" applyBorder="1"/>
    <xf numFmtId="2" fontId="0" fillId="0" borderId="9" xfId="0" applyNumberFormat="1" applyBorder="1"/>
    <xf numFmtId="0" fontId="0" fillId="0" borderId="9" xfId="0" applyBorder="1"/>
    <xf numFmtId="0" fontId="3" fillId="2" borderId="0" xfId="2"/>
    <xf numFmtId="0" fontId="3" fillId="2" borderId="1" xfId="2" applyBorder="1"/>
    <xf numFmtId="2" fontId="0" fillId="0" borderId="3" xfId="0" applyNumberFormat="1" applyBorder="1"/>
    <xf numFmtId="2" fontId="0" fillId="0" borderId="5" xfId="0" applyNumberFormat="1" applyBorder="1"/>
    <xf numFmtId="0" fontId="7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2" fontId="9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7" fontId="0" fillId="0" borderId="0" xfId="1" applyNumberFormat="1" applyFont="1"/>
    <xf numFmtId="168" fontId="0" fillId="0" borderId="0" xfId="1" applyNumberFormat="1" applyFont="1"/>
    <xf numFmtId="2" fontId="1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41" fontId="0" fillId="0" borderId="0" xfId="0" applyNumberFormat="1"/>
    <xf numFmtId="2" fontId="12" fillId="0" borderId="0" xfId="0" applyNumberFormat="1" applyFont="1" applyAlignment="1">
      <alignment vertical="center"/>
    </xf>
    <xf numFmtId="166" fontId="0" fillId="0" borderId="8" xfId="0" applyNumberFormat="1" applyBorder="1" applyAlignment="1">
      <alignment vertical="center" wrapText="1"/>
    </xf>
    <xf numFmtId="2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2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1" fontId="0" fillId="0" borderId="0" xfId="1" applyFont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41" fontId="0" fillId="0" borderId="8" xfId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4" borderId="18" xfId="0" applyFill="1" applyBorder="1"/>
    <xf numFmtId="0" fontId="0" fillId="0" borderId="18" xfId="0" applyBorder="1"/>
    <xf numFmtId="0" fontId="0" fillId="0" borderId="23" xfId="0" applyBorder="1"/>
    <xf numFmtId="0" fontId="0" fillId="0" borderId="5" xfId="0" applyBorder="1"/>
    <xf numFmtId="0" fontId="0" fillId="0" borderId="24" xfId="0" applyBorder="1"/>
    <xf numFmtId="168" fontId="0" fillId="0" borderId="0" xfId="1" applyNumberFormat="1" applyFont="1" applyAlignment="1">
      <alignment vertical="center"/>
    </xf>
    <xf numFmtId="168" fontId="0" fillId="0" borderId="8" xfId="1" applyNumberFormat="1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0" fillId="0" borderId="12" xfId="0" applyBorder="1"/>
    <xf numFmtId="0" fontId="0" fillId="0" borderId="13" xfId="0" applyBorder="1"/>
    <xf numFmtId="168" fontId="0" fillId="0" borderId="8" xfId="1" applyNumberFormat="1" applyFont="1" applyBorder="1" applyAlignment="1">
      <alignment horizontal="center" vertical="center"/>
    </xf>
    <xf numFmtId="0" fontId="0" fillId="6" borderId="21" xfId="0" applyFill="1" applyBorder="1"/>
    <xf numFmtId="0" fontId="0" fillId="6" borderId="22" xfId="0" applyFill="1" applyBorder="1"/>
    <xf numFmtId="0" fontId="0" fillId="7" borderId="21" xfId="0" applyFill="1" applyBorder="1"/>
    <xf numFmtId="0" fontId="0" fillId="7" borderId="22" xfId="0" applyFill="1" applyBorder="1"/>
    <xf numFmtId="0" fontId="0" fillId="6" borderId="19" xfId="0" applyFill="1" applyBorder="1"/>
    <xf numFmtId="0" fontId="0" fillId="6" borderId="20" xfId="0" applyFill="1" applyBorder="1"/>
    <xf numFmtId="2" fontId="11" fillId="0" borderId="0" xfId="0" applyNumberFormat="1" applyFont="1" applyAlignment="1">
      <alignment horizontal="center" vertical="center"/>
    </xf>
    <xf numFmtId="2" fontId="11" fillId="0" borderId="16" xfId="0" applyNumberFormat="1" applyFont="1" applyBorder="1" applyAlignment="1">
      <alignment vertical="center"/>
    </xf>
    <xf numFmtId="2" fontId="11" fillId="0" borderId="26" xfId="0" applyNumberFormat="1" applyFont="1" applyBorder="1" applyAlignment="1">
      <alignment vertical="center"/>
    </xf>
    <xf numFmtId="166" fontId="11" fillId="0" borderId="0" xfId="0" applyNumberFormat="1" applyFont="1" applyAlignment="1">
      <alignment horizontal="center" vertical="center"/>
    </xf>
    <xf numFmtId="164" fontId="0" fillId="0" borderId="0" xfId="0" applyNumberFormat="1"/>
    <xf numFmtId="0" fontId="13" fillId="0" borderId="25" xfId="0" applyFont="1" applyBorder="1" applyAlignment="1">
      <alignment vertical="center"/>
    </xf>
    <xf numFmtId="2" fontId="12" fillId="0" borderId="0" xfId="0" applyNumberFormat="1" applyFont="1" applyAlignment="1">
      <alignment vertical="center" wrapText="1"/>
    </xf>
    <xf numFmtId="2" fontId="12" fillId="0" borderId="0" xfId="0" applyNumberFormat="1" applyFont="1" applyAlignment="1">
      <alignment horizontal="right" vertical="center"/>
    </xf>
    <xf numFmtId="0" fontId="0" fillId="8" borderId="0" xfId="0" applyFill="1"/>
    <xf numFmtId="165" fontId="0" fillId="8" borderId="0" xfId="0" applyNumberFormat="1" applyFill="1"/>
    <xf numFmtId="0" fontId="0" fillId="9" borderId="0" xfId="0" applyFill="1"/>
    <xf numFmtId="165" fontId="0" fillId="9" borderId="0" xfId="0" applyNumberFormat="1" applyFill="1"/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69" fontId="11" fillId="0" borderId="0" xfId="3" applyNumberFormat="1" applyFont="1" applyAlignment="1">
      <alignment vertical="center"/>
    </xf>
    <xf numFmtId="168" fontId="0" fillId="0" borderId="3" xfId="1" applyNumberFormat="1" applyFont="1" applyBorder="1"/>
    <xf numFmtId="0" fontId="1" fillId="8" borderId="0" xfId="0" applyFont="1" applyFill="1"/>
    <xf numFmtId="165" fontId="1" fillId="8" borderId="0" xfId="0" applyNumberFormat="1" applyFont="1" applyFill="1"/>
    <xf numFmtId="165" fontId="1" fillId="0" borderId="0" xfId="0" applyNumberFormat="1" applyFont="1"/>
    <xf numFmtId="0" fontId="1" fillId="9" borderId="0" xfId="0" applyFont="1" applyFill="1"/>
    <xf numFmtId="165" fontId="1" fillId="9" borderId="0" xfId="0" applyNumberFormat="1" applyFont="1" applyFill="1"/>
    <xf numFmtId="0" fontId="0" fillId="10" borderId="0" xfId="0" applyFill="1"/>
    <xf numFmtId="168" fontId="0" fillId="0" borderId="0" xfId="1" applyNumberFormat="1" applyFont="1" applyBorder="1" applyAlignment="1">
      <alignment vertical="center"/>
    </xf>
    <xf numFmtId="41" fontId="0" fillId="0" borderId="0" xfId="1" applyFont="1" applyBorder="1" applyAlignment="1">
      <alignment horizontal="center" vertical="center"/>
    </xf>
    <xf numFmtId="168" fontId="0" fillId="0" borderId="0" xfId="1" applyNumberFormat="1" applyFont="1" applyBorder="1" applyAlignment="1">
      <alignment horizontal="center" vertical="center"/>
    </xf>
    <xf numFmtId="0" fontId="0" fillId="10" borderId="8" xfId="0" applyFill="1" applyBorder="1"/>
    <xf numFmtId="41" fontId="0" fillId="0" borderId="8" xfId="1" applyFont="1" applyBorder="1" applyAlignment="1">
      <alignment horizontal="center" vertical="center"/>
    </xf>
    <xf numFmtId="168" fontId="0" fillId="0" borderId="8" xfId="1" applyNumberFormat="1" applyFont="1" applyBorder="1"/>
    <xf numFmtId="41" fontId="0" fillId="0" borderId="8" xfId="1" applyFont="1" applyBorder="1"/>
    <xf numFmtId="0" fontId="0" fillId="0" borderId="29" xfId="0" applyBorder="1"/>
    <xf numFmtId="41" fontId="0" fillId="0" borderId="12" xfId="1" applyFont="1" applyBorder="1"/>
    <xf numFmtId="0" fontId="0" fillId="0" borderId="30" xfId="0" applyBorder="1"/>
    <xf numFmtId="0" fontId="0" fillId="0" borderId="31" xfId="0" applyBorder="1"/>
    <xf numFmtId="0" fontId="0" fillId="11" borderId="30" xfId="0" applyFill="1" applyBorder="1"/>
    <xf numFmtId="0" fontId="0" fillId="11" borderId="31" xfId="0" applyFill="1" applyBorder="1"/>
    <xf numFmtId="0" fontId="0" fillId="11" borderId="0" xfId="0" applyFill="1"/>
    <xf numFmtId="0" fontId="0" fillId="0" borderId="32" xfId="0" applyBorder="1"/>
    <xf numFmtId="0" fontId="0" fillId="0" borderId="33" xfId="0" applyBorder="1"/>
    <xf numFmtId="0" fontId="4" fillId="5" borderId="16" xfId="0" applyFont="1" applyFill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2" fontId="11" fillId="0" borderId="26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169" fontId="11" fillId="0" borderId="26" xfId="3" applyNumberFormat="1" applyFont="1" applyBorder="1" applyAlignment="1">
      <alignment horizontal="center" vertical="center"/>
    </xf>
    <xf numFmtId="169" fontId="11" fillId="0" borderId="0" xfId="3" applyNumberFormat="1" applyFont="1" applyBorder="1" applyAlignment="1">
      <alignment horizontal="center" vertical="center"/>
    </xf>
    <xf numFmtId="169" fontId="11" fillId="0" borderId="16" xfId="3" applyNumberFormat="1" applyFont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</cellXfs>
  <cellStyles count="4">
    <cellStyle name="20% - Accent1" xfId="2" builtinId="30"/>
    <cellStyle name="Comma [0]" xfId="1" builtinId="6"/>
    <cellStyle name="Normal" xfId="0" builtinId="0"/>
    <cellStyle name="Percent" xfId="3" builtinId="5"/>
  </cellStyles>
  <dxfs count="272">
    <dxf>
      <numFmt numFmtId="166" formatCode="0.0"/>
    </dxf>
    <dxf>
      <numFmt numFmtId="0" formatCode="General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numFmt numFmtId="166" formatCode="0.0"/>
    </dxf>
    <dxf>
      <numFmt numFmtId="0" formatCode="General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numFmt numFmtId="0" formatCode="General"/>
    </dxf>
    <dxf>
      <numFmt numFmtId="0" formatCode="General"/>
    </dxf>
    <dxf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" formatCode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" formatCode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" formatCode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" formatCode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" formatCode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6" formatCode="0.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" formatCode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65" formatCode="0.00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numFmt numFmtId="2" formatCode="0.00"/>
    </dxf>
    <dxf>
      <numFmt numFmtId="168" formatCode="_-* #,##0.00_-;\-* #,##0.00_-;_-* &quot;-&quot;_-;_-@_-"/>
    </dxf>
    <dxf>
      <numFmt numFmtId="168" formatCode="_-* #,##0.00_-;\-* #,##0.00_-;_-* &quot;-&quot;_-;_-@_-"/>
    </dxf>
    <dxf>
      <numFmt numFmtId="168" formatCode="_-* #,##0.00_-;\-* #,##0.00_-;_-* &quot;-&quot;_-;_-@_-"/>
    </dxf>
    <dxf>
      <numFmt numFmtId="168" formatCode="_-* #,##0.00_-;\-* #,##0.00_-;_-* &quot;-&quot;_-;_-@_-"/>
    </dxf>
    <dxf>
      <numFmt numFmtId="168" formatCode="_-* #,##0.00_-;\-* #,##0.00_-;_-* &quot;-&quot;_-;_-@_-"/>
    </dxf>
    <dxf>
      <numFmt numFmtId="168" formatCode="_-* #,##0.00_-;\-* #,##0.00_-;_-* &quot;-&quot;_-;_-@_-"/>
    </dxf>
    <dxf>
      <numFmt numFmtId="168" formatCode="_-* #,##0.00_-;\-* #,##0.00_-;_-* &quot;-&quot;_-;_-@_-"/>
    </dxf>
    <dxf>
      <numFmt numFmtId="168" formatCode="_-* #,##0.00_-;\-* #,##0.00_-;_-* &quot;-&quot;_-;_-@_-"/>
    </dxf>
    <dxf>
      <numFmt numFmtId="168" formatCode="_-* #,##0.00_-;\-* #,##0.00_-;_-* &quot;-&quot;_-;_-@_-"/>
    </dxf>
    <dxf>
      <numFmt numFmtId="168" formatCode="_-* #,##0.00_-;\-* #,##0.00_-;_-* &quot;-&quot;_-;_-@_-"/>
    </dxf>
    <dxf>
      <numFmt numFmtId="168" formatCode="_-* #,##0.00_-;\-* #,##0.00_-;_-* &quot;-&quot;_-;_-@_-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'Uji Perlakuan Terbaik'!$C$54</c:f>
              <c:strCache>
                <c:ptCount val="1"/>
                <c:pt idx="0">
                  <c:v>Viskositas (N)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'Uji Perlakuan Terbaik'!$B$55:$B$63</c:f>
              <c:strCache>
                <c:ptCount val="9"/>
                <c:pt idx="0">
                  <c:v>S1M1</c:v>
                </c:pt>
                <c:pt idx="1">
                  <c:v>S2M1</c:v>
                </c:pt>
                <c:pt idx="2">
                  <c:v>S3M1</c:v>
                </c:pt>
                <c:pt idx="3">
                  <c:v>S1M2</c:v>
                </c:pt>
                <c:pt idx="4">
                  <c:v>S2M2</c:v>
                </c:pt>
                <c:pt idx="5">
                  <c:v>S3M2</c:v>
                </c:pt>
                <c:pt idx="6">
                  <c:v>S1M3</c:v>
                </c:pt>
                <c:pt idx="7">
                  <c:v>S2M3</c:v>
                </c:pt>
                <c:pt idx="8">
                  <c:v>S3M3</c:v>
                </c:pt>
              </c:strCache>
            </c:strRef>
          </c:cat>
          <c:val>
            <c:numRef>
              <c:f>'Uji Perlakuan Terbaik'!$C$55:$C$63</c:f>
              <c:numCache>
                <c:formatCode>_-* #,##0.00_-;\-* #,##0.00_-;_-* "-"_-;_-@_-</c:formatCode>
                <c:ptCount val="9"/>
                <c:pt idx="0">
                  <c:v>1.2666666666666668</c:v>
                </c:pt>
                <c:pt idx="1">
                  <c:v>1.0666666666666667</c:v>
                </c:pt>
                <c:pt idx="2">
                  <c:v>0.9</c:v>
                </c:pt>
                <c:pt idx="3">
                  <c:v>0.73333333333333339</c:v>
                </c:pt>
                <c:pt idx="4">
                  <c:v>0.6333333333333333</c:v>
                </c:pt>
                <c:pt idx="5">
                  <c:v>0.46666666666666662</c:v>
                </c:pt>
                <c:pt idx="6">
                  <c:v>0.66666666666666663</c:v>
                </c:pt>
                <c:pt idx="7">
                  <c:v>0.46666666666666662</c:v>
                </c:pt>
                <c:pt idx="8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03-44AF-A305-D301A74C4CC9}"/>
            </c:ext>
          </c:extLst>
        </c:ser>
        <c:ser>
          <c:idx val="2"/>
          <c:order val="2"/>
          <c:tx>
            <c:strRef>
              <c:f>'Uji Perlakuan Terbaik'!$E$54</c:f>
              <c:strCache>
                <c:ptCount val="1"/>
                <c:pt idx="0">
                  <c:v>Total asam (%)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'Uji Perlakuan Terbaik'!$B$55:$B$63</c:f>
              <c:strCache>
                <c:ptCount val="9"/>
                <c:pt idx="0">
                  <c:v>S1M1</c:v>
                </c:pt>
                <c:pt idx="1">
                  <c:v>S2M1</c:v>
                </c:pt>
                <c:pt idx="2">
                  <c:v>S3M1</c:v>
                </c:pt>
                <c:pt idx="3">
                  <c:v>S1M2</c:v>
                </c:pt>
                <c:pt idx="4">
                  <c:v>S2M2</c:v>
                </c:pt>
                <c:pt idx="5">
                  <c:v>S3M2</c:v>
                </c:pt>
                <c:pt idx="6">
                  <c:v>S1M3</c:v>
                </c:pt>
                <c:pt idx="7">
                  <c:v>S2M3</c:v>
                </c:pt>
                <c:pt idx="8">
                  <c:v>S3M3</c:v>
                </c:pt>
              </c:strCache>
            </c:strRef>
          </c:cat>
          <c:val>
            <c:numRef>
              <c:f>'Uji Perlakuan Terbaik'!$E$55:$E$63</c:f>
              <c:numCache>
                <c:formatCode>_-* #,##0.00_-;\-* #,##0.00_-;_-* "-"_-;_-@_-</c:formatCode>
                <c:ptCount val="9"/>
                <c:pt idx="0">
                  <c:v>1.452</c:v>
                </c:pt>
                <c:pt idx="1">
                  <c:v>1.331</c:v>
                </c:pt>
                <c:pt idx="2">
                  <c:v>1.1495</c:v>
                </c:pt>
                <c:pt idx="3">
                  <c:v>1.5427499999999998</c:v>
                </c:pt>
                <c:pt idx="4">
                  <c:v>2.9947499999999998</c:v>
                </c:pt>
                <c:pt idx="5">
                  <c:v>1.5124999999999997</c:v>
                </c:pt>
                <c:pt idx="6">
                  <c:v>1.4217499999999998</c:v>
                </c:pt>
                <c:pt idx="7">
                  <c:v>1.9057500000000001</c:v>
                </c:pt>
                <c:pt idx="8">
                  <c:v>1.4217499999999998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03-44AF-A305-D301A74C4CC9}"/>
            </c:ext>
          </c:extLst>
        </c:ser>
        <c:ser>
          <c:idx val="3"/>
          <c:order val="3"/>
          <c:tx>
            <c:strRef>
              <c:f>'Uji Perlakuan Terbaik'!$F$54</c:f>
              <c:strCache>
                <c:ptCount val="1"/>
                <c:pt idx="0">
                  <c:v>pH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60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6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lumMod val="60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'Uji Perlakuan Terbaik'!$B$55:$B$63</c:f>
              <c:strCache>
                <c:ptCount val="9"/>
                <c:pt idx="0">
                  <c:v>S1M1</c:v>
                </c:pt>
                <c:pt idx="1">
                  <c:v>S2M1</c:v>
                </c:pt>
                <c:pt idx="2">
                  <c:v>S3M1</c:v>
                </c:pt>
                <c:pt idx="3">
                  <c:v>S1M2</c:v>
                </c:pt>
                <c:pt idx="4">
                  <c:v>S2M2</c:v>
                </c:pt>
                <c:pt idx="5">
                  <c:v>S3M2</c:v>
                </c:pt>
                <c:pt idx="6">
                  <c:v>S1M3</c:v>
                </c:pt>
                <c:pt idx="7">
                  <c:v>S2M3</c:v>
                </c:pt>
                <c:pt idx="8">
                  <c:v>S3M3</c:v>
                </c:pt>
              </c:strCache>
            </c:strRef>
          </c:cat>
          <c:val>
            <c:numRef>
              <c:f>'Uji Perlakuan Terbaik'!$F$55:$F$63</c:f>
              <c:numCache>
                <c:formatCode>_-* #,##0.00_-;\-* #,##0.00_-;_-* "-"_-;_-@_-</c:formatCode>
                <c:ptCount val="9"/>
                <c:pt idx="0">
                  <c:v>4.8666666666666663</c:v>
                </c:pt>
                <c:pt idx="1">
                  <c:v>4.5333333333333332</c:v>
                </c:pt>
                <c:pt idx="2">
                  <c:v>4.7</c:v>
                </c:pt>
                <c:pt idx="3">
                  <c:v>4.7666666666666666</c:v>
                </c:pt>
                <c:pt idx="4">
                  <c:v>4.4666666666666668</c:v>
                </c:pt>
                <c:pt idx="5">
                  <c:v>4.3666666666666663</c:v>
                </c:pt>
                <c:pt idx="6">
                  <c:v>4.6666666666666661</c:v>
                </c:pt>
                <c:pt idx="7">
                  <c:v>4.5999999999999996</c:v>
                </c:pt>
                <c:pt idx="8">
                  <c:v>4.8666666666666663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03-44AF-A305-D301A74C4CC9}"/>
            </c:ext>
          </c:extLst>
        </c:ser>
        <c:ser>
          <c:idx val="7"/>
          <c:order val="7"/>
          <c:tx>
            <c:strRef>
              <c:f>'Uji Perlakuan Terbaik'!$J$54</c:f>
              <c:strCache>
                <c:ptCount val="1"/>
                <c:pt idx="0">
                  <c:v>Total Koloni (x109)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lumOff val="20000"/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80000"/>
                    <a:lumOff val="20000"/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80000"/>
                    <a:lumOff val="20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lumMod val="80000"/>
                  <a:lumOff val="20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'Uji Perlakuan Terbaik'!$B$55:$B$63</c:f>
              <c:strCache>
                <c:ptCount val="9"/>
                <c:pt idx="0">
                  <c:v>S1M1</c:v>
                </c:pt>
                <c:pt idx="1">
                  <c:v>S2M1</c:v>
                </c:pt>
                <c:pt idx="2">
                  <c:v>S3M1</c:v>
                </c:pt>
                <c:pt idx="3">
                  <c:v>S1M2</c:v>
                </c:pt>
                <c:pt idx="4">
                  <c:v>S2M2</c:v>
                </c:pt>
                <c:pt idx="5">
                  <c:v>S3M2</c:v>
                </c:pt>
                <c:pt idx="6">
                  <c:v>S1M3</c:v>
                </c:pt>
                <c:pt idx="7">
                  <c:v>S2M3</c:v>
                </c:pt>
                <c:pt idx="8">
                  <c:v>S3M3</c:v>
                </c:pt>
              </c:strCache>
            </c:strRef>
          </c:cat>
          <c:val>
            <c:numRef>
              <c:f>'Uji Perlakuan Terbaik'!$J$55:$J$63</c:f>
              <c:numCache>
                <c:formatCode>0.0</c:formatCode>
                <c:ptCount val="9"/>
                <c:pt idx="0" formatCode="General">
                  <c:v>1.8</c:v>
                </c:pt>
                <c:pt idx="1">
                  <c:v>2.6</c:v>
                </c:pt>
                <c:pt idx="2">
                  <c:v>1.6</c:v>
                </c:pt>
                <c:pt idx="3">
                  <c:v>1.5</c:v>
                </c:pt>
                <c:pt idx="4">
                  <c:v>3.6</c:v>
                </c:pt>
                <c:pt idx="5">
                  <c:v>0.7</c:v>
                </c:pt>
                <c:pt idx="6">
                  <c:v>1.5</c:v>
                </c:pt>
                <c:pt idx="7">
                  <c:v>1.3</c:v>
                </c:pt>
                <c:pt idx="8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303-44AF-A305-D301A74C4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6231071"/>
        <c:axId val="866231551"/>
      </c:barChart>
      <c:lineChart>
        <c:grouping val="standard"/>
        <c:varyColors val="0"/>
        <c:ser>
          <c:idx val="1"/>
          <c:order val="1"/>
          <c:tx>
            <c:strRef>
              <c:f>'Uji Perlakuan Terbaik'!$D$54</c:f>
              <c:strCache>
                <c:ptCount val="1"/>
                <c:pt idx="0">
                  <c:v>TPT (mg/L)</c:v>
                </c:pt>
              </c:strCache>
            </c:strRef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'Uji Perlakuan Terbaik'!$B$55:$B$63</c:f>
              <c:strCache>
                <c:ptCount val="9"/>
                <c:pt idx="0">
                  <c:v>S1M1</c:v>
                </c:pt>
                <c:pt idx="1">
                  <c:v>S2M1</c:v>
                </c:pt>
                <c:pt idx="2">
                  <c:v>S3M1</c:v>
                </c:pt>
                <c:pt idx="3">
                  <c:v>S1M2</c:v>
                </c:pt>
                <c:pt idx="4">
                  <c:v>S2M2</c:v>
                </c:pt>
                <c:pt idx="5">
                  <c:v>S3M2</c:v>
                </c:pt>
                <c:pt idx="6">
                  <c:v>S1M3</c:v>
                </c:pt>
                <c:pt idx="7">
                  <c:v>S2M3</c:v>
                </c:pt>
                <c:pt idx="8">
                  <c:v>S3M3</c:v>
                </c:pt>
              </c:strCache>
            </c:strRef>
          </c:cat>
          <c:val>
            <c:numRef>
              <c:f>'Uji Perlakuan Terbaik'!$D$55:$D$63</c:f>
              <c:numCache>
                <c:formatCode>_-* #,##0.00_-;\-* #,##0.00_-;_-* "-"_-;_-@_-</c:formatCode>
                <c:ptCount val="9"/>
                <c:pt idx="0">
                  <c:v>41.833333333333336</c:v>
                </c:pt>
                <c:pt idx="1">
                  <c:v>40.666666666666664</c:v>
                </c:pt>
                <c:pt idx="2">
                  <c:v>38.666666666666664</c:v>
                </c:pt>
                <c:pt idx="3">
                  <c:v>42</c:v>
                </c:pt>
                <c:pt idx="4">
                  <c:v>40.333333333333336</c:v>
                </c:pt>
                <c:pt idx="5">
                  <c:v>39.666666666666664</c:v>
                </c:pt>
                <c:pt idx="6">
                  <c:v>41.666666666666664</c:v>
                </c:pt>
                <c:pt idx="7">
                  <c:v>41.166666666666664</c:v>
                </c:pt>
                <c:pt idx="8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03-44AF-A305-D301A74C4CC9}"/>
            </c:ext>
          </c:extLst>
        </c:ser>
        <c:ser>
          <c:idx val="4"/>
          <c:order val="4"/>
          <c:tx>
            <c:strRef>
              <c:f>'Uji Perlakuan Terbaik'!$G$54</c:f>
              <c:strCache>
                <c:ptCount val="1"/>
                <c:pt idx="0">
                  <c:v>Warna L*</c:v>
                </c:pt>
              </c:strCache>
            </c:strRef>
          </c:tx>
          <c:spPr>
            <a:ln w="22225" cap="rnd" cmpd="sng" algn="ctr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4">
                  <a:lumMod val="60000"/>
                </a:schemeClr>
              </a:solidFill>
              <a:ln w="9525" cap="flat" cmpd="sng" algn="ctr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cat>
            <c:strRef>
              <c:f>'Uji Perlakuan Terbaik'!$B$55:$B$63</c:f>
              <c:strCache>
                <c:ptCount val="9"/>
                <c:pt idx="0">
                  <c:v>S1M1</c:v>
                </c:pt>
                <c:pt idx="1">
                  <c:v>S2M1</c:v>
                </c:pt>
                <c:pt idx="2">
                  <c:v>S3M1</c:v>
                </c:pt>
                <c:pt idx="3">
                  <c:v>S1M2</c:v>
                </c:pt>
                <c:pt idx="4">
                  <c:v>S2M2</c:v>
                </c:pt>
                <c:pt idx="5">
                  <c:v>S3M2</c:v>
                </c:pt>
                <c:pt idx="6">
                  <c:v>S1M3</c:v>
                </c:pt>
                <c:pt idx="7">
                  <c:v>S2M3</c:v>
                </c:pt>
                <c:pt idx="8">
                  <c:v>S3M3</c:v>
                </c:pt>
              </c:strCache>
            </c:strRef>
          </c:cat>
          <c:val>
            <c:numRef>
              <c:f>'Uji Perlakuan Terbaik'!$G$55:$G$63</c:f>
              <c:numCache>
                <c:formatCode>_-* #,##0.00_-;\-* #,##0.00_-;_-* "-"_-;_-@_-</c:formatCode>
                <c:ptCount val="9"/>
                <c:pt idx="0">
                  <c:v>32.026666666666664</c:v>
                </c:pt>
                <c:pt idx="1">
                  <c:v>30.013333333333335</c:v>
                </c:pt>
                <c:pt idx="2">
                  <c:v>33.926666666666669</c:v>
                </c:pt>
                <c:pt idx="3">
                  <c:v>30.533333333333331</c:v>
                </c:pt>
                <c:pt idx="4">
                  <c:v>32.883333333333333</c:v>
                </c:pt>
                <c:pt idx="5">
                  <c:v>32.813333333333333</c:v>
                </c:pt>
                <c:pt idx="6">
                  <c:v>30.836666666666662</c:v>
                </c:pt>
                <c:pt idx="7">
                  <c:v>30.386666666666667</c:v>
                </c:pt>
                <c:pt idx="8">
                  <c:v>36.56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303-44AF-A305-D301A74C4CC9}"/>
            </c:ext>
          </c:extLst>
        </c:ser>
        <c:ser>
          <c:idx val="5"/>
          <c:order val="5"/>
          <c:tx>
            <c:strRef>
              <c:f>'Uji Perlakuan Terbaik'!$H$54</c:f>
              <c:strCache>
                <c:ptCount val="1"/>
                <c:pt idx="0">
                  <c:v>Warna a*</c:v>
                </c:pt>
              </c:strCache>
            </c:strRef>
          </c:tx>
          <c:spPr>
            <a:ln w="22225" cap="rnd" cmpd="sng" algn="ctr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lumMod val="60000"/>
                </a:schemeClr>
              </a:solidFill>
              <a:ln w="9525" cap="flat" cmpd="sng" algn="ctr">
                <a:solidFill>
                  <a:schemeClr val="accent6">
                    <a:lumMod val="60000"/>
                  </a:schemeClr>
                </a:solidFill>
                <a:round/>
              </a:ln>
              <a:effectLst/>
            </c:spPr>
          </c:marker>
          <c:cat>
            <c:strRef>
              <c:f>'Uji Perlakuan Terbaik'!$B$55:$B$63</c:f>
              <c:strCache>
                <c:ptCount val="9"/>
                <c:pt idx="0">
                  <c:v>S1M1</c:v>
                </c:pt>
                <c:pt idx="1">
                  <c:v>S2M1</c:v>
                </c:pt>
                <c:pt idx="2">
                  <c:v>S3M1</c:v>
                </c:pt>
                <c:pt idx="3">
                  <c:v>S1M2</c:v>
                </c:pt>
                <c:pt idx="4">
                  <c:v>S2M2</c:v>
                </c:pt>
                <c:pt idx="5">
                  <c:v>S3M2</c:v>
                </c:pt>
                <c:pt idx="6">
                  <c:v>S1M3</c:v>
                </c:pt>
                <c:pt idx="7">
                  <c:v>S2M3</c:v>
                </c:pt>
                <c:pt idx="8">
                  <c:v>S3M3</c:v>
                </c:pt>
              </c:strCache>
            </c:strRef>
          </c:cat>
          <c:val>
            <c:numRef>
              <c:f>'Uji Perlakuan Terbaik'!$H$55:$H$63</c:f>
              <c:numCache>
                <c:formatCode>_-* #,##0.00_-;\-* #,##0.00_-;_-* "-"_-;_-@_-</c:formatCode>
                <c:ptCount val="9"/>
                <c:pt idx="0">
                  <c:v>8.2866666666666671</c:v>
                </c:pt>
                <c:pt idx="1">
                  <c:v>6.4766666666666666</c:v>
                </c:pt>
                <c:pt idx="2">
                  <c:v>10.793333333333331</c:v>
                </c:pt>
                <c:pt idx="3">
                  <c:v>2.9966666666666666</c:v>
                </c:pt>
                <c:pt idx="4">
                  <c:v>13.406666666666666</c:v>
                </c:pt>
                <c:pt idx="5">
                  <c:v>10.746666666666668</c:v>
                </c:pt>
                <c:pt idx="6">
                  <c:v>5.4266666666666667</c:v>
                </c:pt>
                <c:pt idx="7">
                  <c:v>4.626666666666666</c:v>
                </c:pt>
                <c:pt idx="8">
                  <c:v>16.203333333333333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303-44AF-A305-D301A74C4CC9}"/>
            </c:ext>
          </c:extLst>
        </c:ser>
        <c:ser>
          <c:idx val="6"/>
          <c:order val="6"/>
          <c:tx>
            <c:strRef>
              <c:f>'Uji Perlakuan Terbaik'!$I$54</c:f>
              <c:strCache>
                <c:ptCount val="1"/>
                <c:pt idx="0">
                  <c:v>Warna b*</c:v>
                </c:pt>
              </c:strCache>
            </c:strRef>
          </c:tx>
          <c:spPr>
            <a:ln w="22225" cap="rnd" cmpd="sng" algn="ctr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2">
                  <a:lumMod val="80000"/>
                  <a:lumOff val="20000"/>
                </a:schemeClr>
              </a:solidFill>
              <a:ln w="9525" cap="flat" cmpd="sng" algn="ctr">
                <a:solidFill>
                  <a:schemeClr val="accent2">
                    <a:lumMod val="80000"/>
                    <a:lumOff val="20000"/>
                  </a:schemeClr>
                </a:solidFill>
                <a:round/>
              </a:ln>
              <a:effectLst/>
            </c:spPr>
          </c:marker>
          <c:cat>
            <c:strRef>
              <c:f>'Uji Perlakuan Terbaik'!$B$55:$B$63</c:f>
              <c:strCache>
                <c:ptCount val="9"/>
                <c:pt idx="0">
                  <c:v>S1M1</c:v>
                </c:pt>
                <c:pt idx="1">
                  <c:v>S2M1</c:v>
                </c:pt>
                <c:pt idx="2">
                  <c:v>S3M1</c:v>
                </c:pt>
                <c:pt idx="3">
                  <c:v>S1M2</c:v>
                </c:pt>
                <c:pt idx="4">
                  <c:v>S2M2</c:v>
                </c:pt>
                <c:pt idx="5">
                  <c:v>S3M2</c:v>
                </c:pt>
                <c:pt idx="6">
                  <c:v>S1M3</c:v>
                </c:pt>
                <c:pt idx="7">
                  <c:v>S2M3</c:v>
                </c:pt>
                <c:pt idx="8">
                  <c:v>S3M3</c:v>
                </c:pt>
              </c:strCache>
            </c:strRef>
          </c:cat>
          <c:val>
            <c:numRef>
              <c:f>'Uji Perlakuan Terbaik'!$I$55:$I$63</c:f>
              <c:numCache>
                <c:formatCode>_-* #,##0.00_-;\-* #,##0.00_-;_-* "-"_-;_-@_-</c:formatCode>
                <c:ptCount val="9"/>
                <c:pt idx="0">
                  <c:v>22.319999999999997</c:v>
                </c:pt>
                <c:pt idx="1">
                  <c:v>23.843333333333334</c:v>
                </c:pt>
                <c:pt idx="2">
                  <c:v>25.403333333333336</c:v>
                </c:pt>
                <c:pt idx="3">
                  <c:v>17.223333333333333</c:v>
                </c:pt>
                <c:pt idx="4">
                  <c:v>27.923333333333332</c:v>
                </c:pt>
                <c:pt idx="5">
                  <c:v>23.556666666666668</c:v>
                </c:pt>
                <c:pt idx="6">
                  <c:v>19.27</c:v>
                </c:pt>
                <c:pt idx="7">
                  <c:v>21.043333333333333</c:v>
                </c:pt>
                <c:pt idx="8">
                  <c:v>30.7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303-44AF-A305-D301A74C4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6231071"/>
        <c:axId val="866231551"/>
      </c:lineChart>
      <c:catAx>
        <c:axId val="866231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6231551"/>
        <c:crosses val="autoZero"/>
        <c:auto val="1"/>
        <c:lblAlgn val="ctr"/>
        <c:lblOffset val="100"/>
        <c:noMultiLvlLbl val="0"/>
      </c:catAx>
      <c:valAx>
        <c:axId val="866231551"/>
        <c:scaling>
          <c:orientation val="minMax"/>
        </c:scaling>
        <c:delete val="0"/>
        <c:axPos val="l"/>
        <c:majorGridlines>
          <c:spPr>
            <a:ln>
              <a:solidFill>
                <a:schemeClr val="dk1">
                  <a:lumMod val="15000"/>
                  <a:lumOff val="85000"/>
                </a:schemeClr>
              </a:solidFill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6231071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'Uji Perlakuan Terbaik'!$B$67</c:f>
              <c:strCache>
                <c:ptCount val="1"/>
                <c:pt idx="0">
                  <c:v>S1M1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'Uji Perlakuan Terbaik'!$C$66:$F$66</c:f>
              <c:strCache>
                <c:ptCount val="4"/>
                <c:pt idx="0">
                  <c:v>Warna</c:v>
                </c:pt>
                <c:pt idx="1">
                  <c:v>Aroma</c:v>
                </c:pt>
                <c:pt idx="2">
                  <c:v>Rasa</c:v>
                </c:pt>
                <c:pt idx="3">
                  <c:v>Tekstur</c:v>
                </c:pt>
              </c:strCache>
            </c:strRef>
          </c:cat>
          <c:val>
            <c:numRef>
              <c:f>'Uji Perlakuan Terbaik'!$C$67:$F$67</c:f>
              <c:numCache>
                <c:formatCode>0.00</c:formatCode>
                <c:ptCount val="4"/>
                <c:pt idx="0">
                  <c:v>3.5333333333333332</c:v>
                </c:pt>
                <c:pt idx="1">
                  <c:v>3.3666666666666667</c:v>
                </c:pt>
                <c:pt idx="2">
                  <c:v>3.6333333333333333</c:v>
                </c:pt>
                <c:pt idx="3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A7-4DBE-85A3-B07D9D48D560}"/>
            </c:ext>
          </c:extLst>
        </c:ser>
        <c:ser>
          <c:idx val="1"/>
          <c:order val="1"/>
          <c:tx>
            <c:strRef>
              <c:f>'Uji Perlakuan Terbaik'!$B$68</c:f>
              <c:strCache>
                <c:ptCount val="1"/>
                <c:pt idx="0">
                  <c:v>S2M1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'Uji Perlakuan Terbaik'!$C$66:$F$66</c:f>
              <c:strCache>
                <c:ptCount val="4"/>
                <c:pt idx="0">
                  <c:v>Warna</c:v>
                </c:pt>
                <c:pt idx="1">
                  <c:v>Aroma</c:v>
                </c:pt>
                <c:pt idx="2">
                  <c:v>Rasa</c:v>
                </c:pt>
                <c:pt idx="3">
                  <c:v>Tekstur</c:v>
                </c:pt>
              </c:strCache>
            </c:strRef>
          </c:cat>
          <c:val>
            <c:numRef>
              <c:f>'Uji Perlakuan Terbaik'!$C$68:$F$68</c:f>
              <c:numCache>
                <c:formatCode>0.00</c:formatCode>
                <c:ptCount val="4"/>
                <c:pt idx="0">
                  <c:v>3.6666666666666665</c:v>
                </c:pt>
                <c:pt idx="1">
                  <c:v>3.4666666666666668</c:v>
                </c:pt>
                <c:pt idx="2">
                  <c:v>3.6666666666666665</c:v>
                </c:pt>
                <c:pt idx="3">
                  <c:v>3.7333333333333334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A7-4DBE-85A3-B07D9D48D560}"/>
            </c:ext>
          </c:extLst>
        </c:ser>
        <c:ser>
          <c:idx val="2"/>
          <c:order val="2"/>
          <c:tx>
            <c:strRef>
              <c:f>'Uji Perlakuan Terbaik'!$B$69</c:f>
              <c:strCache>
                <c:ptCount val="1"/>
                <c:pt idx="0">
                  <c:v>S3M1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'Uji Perlakuan Terbaik'!$C$66:$F$66</c:f>
              <c:strCache>
                <c:ptCount val="4"/>
                <c:pt idx="0">
                  <c:v>Warna</c:v>
                </c:pt>
                <c:pt idx="1">
                  <c:v>Aroma</c:v>
                </c:pt>
                <c:pt idx="2">
                  <c:v>Rasa</c:v>
                </c:pt>
                <c:pt idx="3">
                  <c:v>Tekstur</c:v>
                </c:pt>
              </c:strCache>
            </c:strRef>
          </c:cat>
          <c:val>
            <c:numRef>
              <c:f>'Uji Perlakuan Terbaik'!$C$69:$F$69</c:f>
              <c:numCache>
                <c:formatCode>0.00</c:formatCode>
                <c:ptCount val="4"/>
                <c:pt idx="0">
                  <c:v>3.7</c:v>
                </c:pt>
                <c:pt idx="1">
                  <c:v>3.4666666666666668</c:v>
                </c:pt>
                <c:pt idx="2">
                  <c:v>3.8</c:v>
                </c:pt>
                <c:pt idx="3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A7-4DBE-85A3-B07D9D48D560}"/>
            </c:ext>
          </c:extLst>
        </c:ser>
        <c:ser>
          <c:idx val="3"/>
          <c:order val="3"/>
          <c:tx>
            <c:strRef>
              <c:f>'Uji Perlakuan Terbaik'!$B$70</c:f>
              <c:strCache>
                <c:ptCount val="1"/>
                <c:pt idx="0">
                  <c:v>S1M2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'Uji Perlakuan Terbaik'!$C$66:$F$66</c:f>
              <c:strCache>
                <c:ptCount val="4"/>
                <c:pt idx="0">
                  <c:v>Warna</c:v>
                </c:pt>
                <c:pt idx="1">
                  <c:v>Aroma</c:v>
                </c:pt>
                <c:pt idx="2">
                  <c:v>Rasa</c:v>
                </c:pt>
                <c:pt idx="3">
                  <c:v>Tekstur</c:v>
                </c:pt>
              </c:strCache>
            </c:strRef>
          </c:cat>
          <c:val>
            <c:numRef>
              <c:f>'Uji Perlakuan Terbaik'!$C$70:$F$70</c:f>
              <c:numCache>
                <c:formatCode>0.00</c:formatCode>
                <c:ptCount val="4"/>
                <c:pt idx="0">
                  <c:v>3.9</c:v>
                </c:pt>
                <c:pt idx="1">
                  <c:v>3.8</c:v>
                </c:pt>
                <c:pt idx="2">
                  <c:v>3.4</c:v>
                </c:pt>
                <c:pt idx="3">
                  <c:v>3.6666666666666665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A7-4DBE-85A3-B07D9D48D560}"/>
            </c:ext>
          </c:extLst>
        </c:ser>
        <c:ser>
          <c:idx val="4"/>
          <c:order val="4"/>
          <c:tx>
            <c:strRef>
              <c:f>'Uji Perlakuan Terbaik'!$B$71</c:f>
              <c:strCache>
                <c:ptCount val="1"/>
                <c:pt idx="0">
                  <c:v>S2M2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'Uji Perlakuan Terbaik'!$C$66:$F$66</c:f>
              <c:strCache>
                <c:ptCount val="4"/>
                <c:pt idx="0">
                  <c:v>Warna</c:v>
                </c:pt>
                <c:pt idx="1">
                  <c:v>Aroma</c:v>
                </c:pt>
                <c:pt idx="2">
                  <c:v>Rasa</c:v>
                </c:pt>
                <c:pt idx="3">
                  <c:v>Tekstur</c:v>
                </c:pt>
              </c:strCache>
            </c:strRef>
          </c:cat>
          <c:val>
            <c:numRef>
              <c:f>'Uji Perlakuan Terbaik'!$C$71:$F$71</c:f>
              <c:numCache>
                <c:formatCode>0.00</c:formatCode>
                <c:ptCount val="4"/>
                <c:pt idx="0">
                  <c:v>3.7333333333333334</c:v>
                </c:pt>
                <c:pt idx="1">
                  <c:v>3.5666666666666669</c:v>
                </c:pt>
                <c:pt idx="2">
                  <c:v>3.4666666666666668</c:v>
                </c:pt>
                <c:pt idx="3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A7-4DBE-85A3-B07D9D48D560}"/>
            </c:ext>
          </c:extLst>
        </c:ser>
        <c:ser>
          <c:idx val="5"/>
          <c:order val="5"/>
          <c:tx>
            <c:strRef>
              <c:f>'Uji Perlakuan Terbaik'!$B$72</c:f>
              <c:strCache>
                <c:ptCount val="1"/>
                <c:pt idx="0">
                  <c:v>S3M2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'Uji Perlakuan Terbaik'!$C$66:$F$66</c:f>
              <c:strCache>
                <c:ptCount val="4"/>
                <c:pt idx="0">
                  <c:v>Warna</c:v>
                </c:pt>
                <c:pt idx="1">
                  <c:v>Aroma</c:v>
                </c:pt>
                <c:pt idx="2">
                  <c:v>Rasa</c:v>
                </c:pt>
                <c:pt idx="3">
                  <c:v>Tekstur</c:v>
                </c:pt>
              </c:strCache>
            </c:strRef>
          </c:cat>
          <c:val>
            <c:numRef>
              <c:f>'Uji Perlakuan Terbaik'!$C$72:$F$72</c:f>
              <c:numCache>
                <c:formatCode>0.00</c:formatCode>
                <c:ptCount val="4"/>
                <c:pt idx="0">
                  <c:v>3.6666666666666665</c:v>
                </c:pt>
                <c:pt idx="1">
                  <c:v>3.7</c:v>
                </c:pt>
                <c:pt idx="2">
                  <c:v>3.6666666666666665</c:v>
                </c:pt>
                <c:pt idx="3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A7-4DBE-85A3-B07D9D48D560}"/>
            </c:ext>
          </c:extLst>
        </c:ser>
        <c:ser>
          <c:idx val="6"/>
          <c:order val="6"/>
          <c:tx>
            <c:strRef>
              <c:f>'Uji Perlakuan Terbaik'!$B$73</c:f>
              <c:strCache>
                <c:ptCount val="1"/>
                <c:pt idx="0">
                  <c:v>S1M3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'Uji Perlakuan Terbaik'!$C$66:$F$66</c:f>
              <c:strCache>
                <c:ptCount val="4"/>
                <c:pt idx="0">
                  <c:v>Warna</c:v>
                </c:pt>
                <c:pt idx="1">
                  <c:v>Aroma</c:v>
                </c:pt>
                <c:pt idx="2">
                  <c:v>Rasa</c:v>
                </c:pt>
                <c:pt idx="3">
                  <c:v>Tekstur</c:v>
                </c:pt>
              </c:strCache>
            </c:strRef>
          </c:cat>
          <c:val>
            <c:numRef>
              <c:f>'Uji Perlakuan Terbaik'!$C$73:$F$73</c:f>
              <c:numCache>
                <c:formatCode>0.00</c:formatCode>
                <c:ptCount val="4"/>
                <c:pt idx="0">
                  <c:v>3.7</c:v>
                </c:pt>
                <c:pt idx="1">
                  <c:v>3.7666666666666666</c:v>
                </c:pt>
                <c:pt idx="2">
                  <c:v>3.7333333333333334</c:v>
                </c:pt>
                <c:pt idx="3">
                  <c:v>3.8333333333333335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7A7-4DBE-85A3-B07D9D48D560}"/>
            </c:ext>
          </c:extLst>
        </c:ser>
        <c:ser>
          <c:idx val="7"/>
          <c:order val="7"/>
          <c:tx>
            <c:strRef>
              <c:f>'Uji Perlakuan Terbaik'!$B$74</c:f>
              <c:strCache>
                <c:ptCount val="1"/>
                <c:pt idx="0">
                  <c:v>S2M3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'Uji Perlakuan Terbaik'!$C$66:$F$66</c:f>
              <c:strCache>
                <c:ptCount val="4"/>
                <c:pt idx="0">
                  <c:v>Warna</c:v>
                </c:pt>
                <c:pt idx="1">
                  <c:v>Aroma</c:v>
                </c:pt>
                <c:pt idx="2">
                  <c:v>Rasa</c:v>
                </c:pt>
                <c:pt idx="3">
                  <c:v>Tekstur</c:v>
                </c:pt>
              </c:strCache>
            </c:strRef>
          </c:cat>
          <c:val>
            <c:numRef>
              <c:f>'Uji Perlakuan Terbaik'!$C$74:$F$74</c:f>
              <c:numCache>
                <c:formatCode>0.00</c:formatCode>
                <c:ptCount val="4"/>
                <c:pt idx="0">
                  <c:v>3.8</c:v>
                </c:pt>
                <c:pt idx="1">
                  <c:v>3.6</c:v>
                </c:pt>
                <c:pt idx="2">
                  <c:v>3.6</c:v>
                </c:pt>
                <c:pt idx="3">
                  <c:v>3.6666666666666665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7A7-4DBE-85A3-B07D9D48D560}"/>
            </c:ext>
          </c:extLst>
        </c:ser>
        <c:ser>
          <c:idx val="8"/>
          <c:order val="8"/>
          <c:tx>
            <c:strRef>
              <c:f>'Uji Perlakuan Terbaik'!$B$75</c:f>
              <c:strCache>
                <c:ptCount val="1"/>
                <c:pt idx="0">
                  <c:v>S3M3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'Uji Perlakuan Terbaik'!$C$66:$F$66</c:f>
              <c:strCache>
                <c:ptCount val="4"/>
                <c:pt idx="0">
                  <c:v>Warna</c:v>
                </c:pt>
                <c:pt idx="1">
                  <c:v>Aroma</c:v>
                </c:pt>
                <c:pt idx="2">
                  <c:v>Rasa</c:v>
                </c:pt>
                <c:pt idx="3">
                  <c:v>Tekstur</c:v>
                </c:pt>
              </c:strCache>
            </c:strRef>
          </c:cat>
          <c:val>
            <c:numRef>
              <c:f>'Uji Perlakuan Terbaik'!$C$75:$F$75</c:f>
              <c:numCache>
                <c:formatCode>0.00</c:formatCode>
                <c:ptCount val="4"/>
                <c:pt idx="0">
                  <c:v>3.8333333333333335</c:v>
                </c:pt>
                <c:pt idx="1">
                  <c:v>3.8</c:v>
                </c:pt>
                <c:pt idx="2">
                  <c:v>3.5333333333333332</c:v>
                </c:pt>
                <c:pt idx="3">
                  <c:v>3.7666666666666666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7A7-4DBE-85A3-B07D9D48D56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32088271"/>
        <c:axId val="1032092591"/>
      </c:barChart>
      <c:catAx>
        <c:axId val="1032088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092591"/>
        <c:crosses val="autoZero"/>
        <c:auto val="1"/>
        <c:lblAlgn val="ctr"/>
        <c:lblOffset val="100"/>
        <c:noMultiLvlLbl val="0"/>
      </c:catAx>
      <c:valAx>
        <c:axId val="1032092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088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1106019</xdr:colOff>
      <xdr:row>51</xdr:row>
      <xdr:rowOff>88806</xdr:rowOff>
    </xdr:from>
    <xdr:to>
      <xdr:col>18</xdr:col>
      <xdr:colOff>452156</xdr:colOff>
      <xdr:row>65</xdr:row>
      <xdr:rowOff>3081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9FBC8B-C563-37DE-AEDE-C05CB6AEC7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9525</xdr:colOff>
      <xdr:row>65</xdr:row>
      <xdr:rowOff>80962</xdr:rowOff>
    </xdr:from>
    <xdr:to>
      <xdr:col>18</xdr:col>
      <xdr:colOff>504825</xdr:colOff>
      <xdr:row>79</xdr:row>
      <xdr:rowOff>138112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BEE5C22-B28E-0DCB-F53F-98329E85C5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230\Downloads\Telegram%20Desktop\Raw%20Data%20revis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ji Perlakuan Terbaik"/>
      <sheetName val="Viskositas"/>
      <sheetName val="TPT"/>
      <sheetName val="Total Asam"/>
      <sheetName val="pH"/>
      <sheetName val="Warna L"/>
      <sheetName val="a"/>
      <sheetName val="b"/>
      <sheetName val="TPC"/>
      <sheetName val="Warna"/>
      <sheetName val="Aroma"/>
      <sheetName val="Rasa"/>
      <sheetName val="Tekstur"/>
      <sheetName val="Raw Data revis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3A31964E-3B54-4F67-B699-CE76A62F7C54}" name="Table1775" displayName="Table1775" ref="B3:AH15" totalsRowShown="0">
  <autoFilter ref="B3:AH15" xr:uid="{25B136D9-04B5-458F-B4EB-305DAE1FC2FA}"/>
  <tableColumns count="33">
    <tableColumn id="1" xr3:uid="{3E0F5E74-ABCA-4525-BEA0-5C4F294596BE}" name="Parameter"/>
    <tableColumn id="2" xr3:uid="{381D1093-7E80-42CD-811F-9D90DC5F96D6}" name="1"/>
    <tableColumn id="3" xr3:uid="{8489D59A-D2EC-475F-A37C-8602926FEBA8}" name="2"/>
    <tableColumn id="4" xr3:uid="{311FD4A5-D18A-4F9B-A76B-CDDB347A63A2}" name="3"/>
    <tableColumn id="5" xr3:uid="{30E1983B-9272-4122-B8FF-4D5F2EB00E83}" name="4"/>
    <tableColumn id="6" xr3:uid="{BEB4DB54-7ACB-4379-8CDA-9431E5748866}" name="5"/>
    <tableColumn id="7" xr3:uid="{C2E3B41A-A9A1-449E-9411-FE467CC8C6A9}" name="6"/>
    <tableColumn id="8" xr3:uid="{7800F272-61B5-4403-A51A-C903603EFF9C}" name="7"/>
    <tableColumn id="9" xr3:uid="{786318AE-A07E-476D-B9E1-4FE375D52FF4}" name="8"/>
    <tableColumn id="10" xr3:uid="{E2109147-8305-40B9-A251-BC1F32EB17F8}" name="9"/>
    <tableColumn id="11" xr3:uid="{78D18FD7-DFC7-4305-8C62-0945CD119FEE}" name="10"/>
    <tableColumn id="12" xr3:uid="{A6015399-83CE-480A-9E82-98608D90338B}" name="11"/>
    <tableColumn id="13" xr3:uid="{ECBFD90C-C4AC-4B9D-849B-B48312630770}" name="12"/>
    <tableColumn id="14" xr3:uid="{6533E494-0FB0-4142-94A0-F5F24FDBE125}" name="13"/>
    <tableColumn id="15" xr3:uid="{812D9997-3B65-49FA-93F4-EB1FF99294CC}" name="14"/>
    <tableColumn id="16" xr3:uid="{13E000EA-E35E-465E-A8D6-5F009F95B335}" name="15"/>
    <tableColumn id="17" xr3:uid="{E6C75FEE-1E37-4DF6-855F-CA1C016D3B84}" name="16"/>
    <tableColumn id="18" xr3:uid="{E366FC54-F215-4308-BD3D-B864CEA53E26}" name="17"/>
    <tableColumn id="19" xr3:uid="{5F73308F-2591-4487-807A-F81A09397C5A}" name="18"/>
    <tableColumn id="20" xr3:uid="{158D238E-92AC-4B5B-A2F8-A9877878A96B}" name="19"/>
    <tableColumn id="21" xr3:uid="{44EB08BD-6438-4138-944F-ACB146F4AD43}" name="20"/>
    <tableColumn id="22" xr3:uid="{F9D1FCD3-6670-46B4-9821-0EB576F80DD9}" name="21"/>
    <tableColumn id="23" xr3:uid="{39520CA2-DBDE-4530-B99F-25407144B48F}" name="22"/>
    <tableColumn id="24" xr3:uid="{624FADE9-6965-4ED7-98EC-5943B3490169}" name="23"/>
    <tableColumn id="25" xr3:uid="{060340CE-8605-4C44-93AE-EB4E2F073C42}" name="24"/>
    <tableColumn id="26" xr3:uid="{85DE6FCB-1E99-4B48-87A4-C1B82B4A7817}" name="25"/>
    <tableColumn id="27" xr3:uid="{E10F022D-39F0-4802-9FF8-B3CE561C1A91}" name="26"/>
    <tableColumn id="28" xr3:uid="{85257606-8B7E-46EB-BE47-87BF165BE55E}" name="27"/>
    <tableColumn id="29" xr3:uid="{49CD460A-A281-415E-9708-E01574E91089}" name="28"/>
    <tableColumn id="30" xr3:uid="{CBF3BA9D-3D6F-4899-A815-1E7498489171}" name="29"/>
    <tableColumn id="31" xr3:uid="{AEF4A4A7-AE60-41B3-B6C8-E472CC6F4EFF}" name="30"/>
    <tableColumn id="32" xr3:uid="{BCD92303-6DAB-48FA-AB80-6C6BABAF3ACA}" name="Jumlah" dataDxfId="271">
      <calculatedColumnFormula>SUM(Table1775[[#This Row],[1]:[30]])</calculatedColumnFormula>
    </tableColumn>
    <tableColumn id="33" xr3:uid="{7D068EA1-B279-4424-A3E5-1F5259705726}" name="Rata-rata" dataDxfId="270">
      <calculatedColumnFormula>AVERAGE(Table1775[[#This Row],[1]:[30]])</calculatedColumnFormula>
    </tableColumn>
  </tableColumns>
  <tableStyleInfo name="TableStyleLight10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F097B936-1517-4597-BEF3-21EFBCBFE0C3}" name="Table19" displayName="Table19" ref="F22:K27" totalsRowShown="0" headerRowDxfId="199" dataDxfId="198">
  <autoFilter ref="F22:K27" xr:uid="{F097B936-1517-4597-BEF3-21EFBCBFE0C3}"/>
  <tableColumns count="6">
    <tableColumn id="1" xr3:uid="{600C5440-51BA-4A0F-820E-42B70370A706}" name="Perlakuan" dataDxfId="197"/>
    <tableColumn id="2" xr3:uid="{5A90A9E3-E453-4161-83B1-D95D7100D150}" name="S1" dataDxfId="196"/>
    <tableColumn id="3" xr3:uid="{EF4E69BF-219E-40DD-90D3-267FCC3A392B}" name="S2" dataDxfId="195"/>
    <tableColumn id="4" xr3:uid="{68E230C8-111A-41C8-9246-CF03B1599BF1}" name="S3" dataDxfId="194"/>
    <tableColumn id="5" xr3:uid="{8856A6D0-A3C0-4F85-B169-13A59F87F088}" name="Total" dataDxfId="193">
      <calculatedColumnFormula>SUM(Table19[[#This Row],[S1]:[S3]])</calculatedColumnFormula>
    </tableColumn>
    <tableColumn id="6" xr3:uid="{EFC355AD-19C6-4C81-801C-D19E9F1DC36A}" name="Rerata" dataDxfId="192">
      <calculatedColumnFormula>AVERAGE(Table19[[#This Row],[S1]:[S3]])</calculatedColumnFormula>
    </tableColumn>
  </tableColumns>
  <tableStyleInfo name="TableStyleLight13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4245BDD-A34A-48D4-A330-30CCD54174C3}" name="Table1" displayName="Table1" ref="A117:D144" totalsRowShown="0" headerRowDxfId="191" dataDxfId="190">
  <autoFilter ref="A117:D144" xr:uid="{94245BDD-A34A-48D4-A330-30CCD54174C3}"/>
  <tableColumns count="4">
    <tableColumn id="1" xr3:uid="{89F01DE3-CBAF-42F9-8D08-7C33B053E73E}" name="Column1" dataDxfId="189"/>
    <tableColumn id="2" xr3:uid="{0C321903-EB6C-4068-B330-9C3171685340}" name="L" dataDxfId="188"/>
    <tableColumn id="3" xr3:uid="{0A526B00-A2CD-4D48-8F7F-35A2FE9BE0B7}" name="A" dataDxfId="187"/>
    <tableColumn id="4" xr3:uid="{21311925-961A-4689-9A15-A50D79197271}" name="B" dataDxfId="186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C808915-9B42-457E-8944-52B610A776A0}" name="Table2" displayName="Table2" ref="H2:N13" totalsRowShown="0" headerRowDxfId="185" dataDxfId="184">
  <autoFilter ref="H2:N13" xr:uid="{5C808915-9B42-457E-8944-52B610A776A0}"/>
  <tableColumns count="7">
    <tableColumn id="1" xr3:uid="{F8134C98-1BA9-4AC8-9E22-6EA55F5B3138}" name="Perlakuan" dataDxfId="183"/>
    <tableColumn id="2" xr3:uid="{2B365C67-9DA3-42ED-B78A-26921DF1AD87}" name="U1" dataDxfId="182"/>
    <tableColumn id="3" xr3:uid="{93C62B80-5D26-41A6-9E35-A82CAD97C06E}" name="U2" dataDxfId="181"/>
    <tableColumn id="4" xr3:uid="{83F5DA15-4527-41E0-88B4-DBD5D9ED3D4C}" name="U3" dataDxfId="180"/>
    <tableColumn id="5" xr3:uid="{857B22A6-3DAD-4BA7-9820-871AB9E833C0}" name="Total" dataDxfId="179">
      <calculatedColumnFormula>SUM(Table2[[#This Row],[U1]:[U3]])</calculatedColumnFormula>
    </tableColumn>
    <tableColumn id="6" xr3:uid="{CA778F7C-4B93-4AF5-8145-4B334385214D}" name="Rata2" dataDxfId="178">
      <calculatedColumnFormula>AVERAGE(Table2[[#This Row],[U1]:[Total]])</calculatedColumnFormula>
    </tableColumn>
    <tableColumn id="7" xr3:uid="{13275D66-AA61-4B7D-A97E-07D04AE2154E}" name="Stdev" dataDxfId="177">
      <calculatedColumnFormula>_xlfn.STDEV.P(Table2[[#This Row],[U1]:[U3]])</calculatedColumnFormula>
    </tableColumn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CF2752EA-B66E-42F5-B05A-BCDD66B661B6}" name="Table4424" displayName="Table4424" ref="H30:O37" totalsRowShown="0" headerRowDxfId="176" dataDxfId="175">
  <autoFilter ref="H30:O37" xr:uid="{CF2752EA-B66E-42F5-B05A-BCDD66B661B6}"/>
  <tableColumns count="8">
    <tableColumn id="1" xr3:uid="{166026A2-5FB6-4A6C-BCC8-CA81FE9E76FD}" name="Sumber Variasi" dataDxfId="174"/>
    <tableColumn id="2" xr3:uid="{37263CBA-66D6-40E0-BD34-A1FFBC3228F5}" name="d.b" dataDxfId="173"/>
    <tableColumn id="3" xr3:uid="{E5FD7270-CF4E-41CD-83AA-6AFEC0520837}" name="J.K" dataDxfId="172">
      <calculatedColumnFormula>I17</calculatedColumnFormula>
    </tableColumn>
    <tableColumn id="4" xr3:uid="{B18B8CCF-A7EF-4721-9804-AA0438EC1EDA}" name="K.T" dataDxfId="171">
      <calculatedColumnFormula>Table4424[[#This Row],[J.K]]/Table4424[[#This Row],[d.b]]</calculatedColumnFormula>
    </tableColumn>
    <tableColumn id="5" xr3:uid="{65935143-3CA5-4FA4-B2F9-6B1CB4C07930}" name="F hitung" dataDxfId="170">
      <calculatedColumnFormula>Table4424[[#This Row],[K.T]]/K36</calculatedColumnFormula>
    </tableColumn>
    <tableColumn id="6" xr3:uid="{4797EBE1-F8BD-4078-80A9-EB2DE57D38BC}" name="F tabel 5%" dataDxfId="169">
      <calculatedColumnFormula>FINV(0.05,I31,I36)</calculatedColumnFormula>
    </tableColumn>
    <tableColumn id="7" xr3:uid="{5C99CC01-9B2C-4750-BC1D-1D8CB59F837D}" name="F tabel 1%" dataDxfId="168">
      <calculatedColumnFormula>FINV(0.01,I31,I36)</calculatedColumnFormula>
    </tableColumn>
    <tableColumn id="8" xr3:uid="{8C7B8A26-5FBE-4F77-9DC3-C8A9EA41786F}" name="Notasi" dataDxfId="167">
      <calculatedColumnFormula>IF(L31&lt;M31,"tidak berbeda nyata","berbeda nyata")</calculatedColumnFormula>
    </tableColumn>
  </tableColumns>
  <tableStyleInfo name="TableStyleLight13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B0601B3F-6959-4137-8A75-F5C3BBD33E20}" name="Table1953" displayName="Table1953" ref="H22:M27" totalsRowShown="0" headerRowDxfId="166" dataDxfId="165">
  <autoFilter ref="H22:M27" xr:uid="{B0601B3F-6959-4137-8A75-F5C3BBD33E20}"/>
  <tableColumns count="6">
    <tableColumn id="1" xr3:uid="{C66FD94F-81B2-4F61-A122-B628E2932627}" name="Perlakuan" dataDxfId="164"/>
    <tableColumn id="2" xr3:uid="{B87F2392-97B9-4BF9-8AE5-EA0D4F6B7704}" name="S1" dataDxfId="163"/>
    <tableColumn id="3" xr3:uid="{0CD67A7F-91FD-4247-BBCC-0CF4354C3547}" name="S2" dataDxfId="162"/>
    <tableColumn id="4" xr3:uid="{568612A5-9B9B-4DEB-955F-474E18401F17}" name="S3" dataDxfId="161"/>
    <tableColumn id="5" xr3:uid="{A8FC831B-7259-4143-95D0-77F41DB03B21}" name="Total" dataDxfId="160">
      <calculatedColumnFormula>SUM(Table1953[[#This Row],[S1]:[S3]])</calculatedColumnFormula>
    </tableColumn>
    <tableColumn id="6" xr3:uid="{06CE4751-D7FE-4F44-ADC1-625611315A01}" name="Rerata" dataDxfId="159">
      <calculatedColumnFormula>AVERAGE(Table1953[[#This Row],[S1]:[S3]])</calculatedColumnFormula>
    </tableColumn>
  </tableColumns>
  <tableStyleInfo name="TableStyleLight13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53AFF3D-23A3-44CF-BD7E-E5399204038F}" name="Table5" displayName="Table5" ref="A2:D11" totalsRowShown="0">
  <autoFilter ref="A2:D11" xr:uid="{E53AFF3D-23A3-44CF-BD7E-E5399204038F}"/>
  <tableColumns count="4">
    <tableColumn id="1" xr3:uid="{80294C68-154E-4DA6-9431-C90E9A23F92F}" name="Perlakuan"/>
    <tableColumn id="2" xr3:uid="{552CC42C-601E-4D07-96E0-6A83BA95FF56}" name="U1"/>
    <tableColumn id="3" xr3:uid="{AA31D9ED-3931-4133-B661-EB3DA5F87D91}" name="U2"/>
    <tableColumn id="4" xr3:uid="{87C4360A-97E9-4AB2-9BFA-7267A7A18CBA}" name="U3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4774299-5B99-430D-B976-0A3B0626155C}" name="Table7" displayName="Table7" ref="F2:L13" totalsRowShown="0">
  <autoFilter ref="F2:L13" xr:uid="{D4774299-5B99-430D-B976-0A3B0626155C}"/>
  <tableColumns count="7">
    <tableColumn id="1" xr3:uid="{C76F73C1-4C71-4A9D-B083-563E72A71E49}" name="Perlakuan"/>
    <tableColumn id="2" xr3:uid="{92DD2756-70FB-4CA9-AA97-4F1862095D16}" name="U1"/>
    <tableColumn id="3" xr3:uid="{9920A9C2-3E96-4CBC-A8CC-7EDB159C5C4D}" name="U2"/>
    <tableColumn id="4" xr3:uid="{4587F47E-8D98-4D2A-915E-1C437B10495D}" name="U3"/>
    <tableColumn id="5" xr3:uid="{8B247479-4D18-48DF-8ADA-E18328F4B67C}" name="Total" dataDxfId="158">
      <calculatedColumnFormula>SUM(Table7[[#This Row],[U1]:[U3]])</calculatedColumnFormula>
    </tableColumn>
    <tableColumn id="6" xr3:uid="{9F2848A1-2514-4BF8-A77E-7EC438E60EBC}" name="Rerata" dataDxfId="157">
      <calculatedColumnFormula>AVERAGE(Table7[[#This Row],[U1]:[U3]])</calculatedColumnFormula>
    </tableColumn>
    <tableColumn id="7" xr3:uid="{3A948978-303C-4D48-B77F-D39036ECC8A2}" name="Stedev" dataDxfId="156">
      <calculatedColumnFormula>_xlfn.STDEV.P(Table7[[#This Row],[U1]:[Total]])</calculatedColumnFormula>
    </tableColumn>
  </tableColumns>
  <tableStyleInfo name="TableStyleLight1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6696F112-8E6E-488D-8163-E801E620238D}" name="Table442477" displayName="Table442477" ref="F30:M37" totalsRowShown="0" headerRowDxfId="155" dataDxfId="154">
  <autoFilter ref="F30:M37" xr:uid="{6696F112-8E6E-488D-8163-E801E620238D}"/>
  <tableColumns count="8">
    <tableColumn id="1" xr3:uid="{5CADE446-EBC6-4949-ABB5-F07C666F0EB3}" name="Sumber Variasi" dataDxfId="153"/>
    <tableColumn id="2" xr3:uid="{8D03253F-3309-4792-8A6B-876003BD986F}" name="d.b" dataDxfId="152"/>
    <tableColumn id="3" xr3:uid="{54B23484-13F9-42DA-B525-B9BC43192A36}" name="J.K" dataDxfId="151">
      <calculatedColumnFormula>G17</calculatedColumnFormula>
    </tableColumn>
    <tableColumn id="4" xr3:uid="{1EAD0581-6039-4311-B91B-48F81E7E621D}" name="K.T" dataDxfId="150">
      <calculatedColumnFormula>Table442477[[#This Row],[J.K]]/Table442477[[#This Row],[d.b]]</calculatedColumnFormula>
    </tableColumn>
    <tableColumn id="5" xr3:uid="{C227E367-8DB0-4BD0-B0CA-2412E16F978B}" name="F hitung" dataDxfId="149">
      <calculatedColumnFormula>Table442477[[#This Row],[K.T]]/I36</calculatedColumnFormula>
    </tableColumn>
    <tableColumn id="6" xr3:uid="{81DEBFE8-19B4-415F-96A4-E8C47F03FE8B}" name="F tabel 5%" dataDxfId="148">
      <calculatedColumnFormula>FINV(0.05,G31,G36)</calculatedColumnFormula>
    </tableColumn>
    <tableColumn id="7" xr3:uid="{757AE647-3C83-4E75-A51E-B3AAD4AC1AF5}" name="F tabel 1%" dataDxfId="147">
      <calculatedColumnFormula>FINV(0.01,G31,G36)</calculatedColumnFormula>
    </tableColumn>
    <tableColumn id="8" xr3:uid="{8548F0CC-FCD7-4951-9ED2-C07317F20142}" name="Notasi" dataDxfId="146">
      <calculatedColumnFormula>IF(J31&lt;K31,"tidak berbeda nyata","berbeda nyata")</calculatedColumnFormula>
    </tableColumn>
  </tableColumns>
  <tableStyleInfo name="TableStyleLight1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356D3CCB-ECFC-444B-A296-78B9BAEF0ABC}" name="Table195380" displayName="Table195380" ref="F22:K27" totalsRowShown="0" headerRowDxfId="145" dataDxfId="144">
  <autoFilter ref="F22:K27" xr:uid="{356D3CCB-ECFC-444B-A296-78B9BAEF0ABC}"/>
  <tableColumns count="6">
    <tableColumn id="1" xr3:uid="{FCB6AF56-25AD-425B-A4EB-1C00730DF8C3}" name="Perlakuan" dataDxfId="143"/>
    <tableColumn id="2" xr3:uid="{15B010C7-8E61-4BED-B94A-39B34D4B0517}" name="S1" dataDxfId="142"/>
    <tableColumn id="3" xr3:uid="{F159BA8D-989A-47E8-B380-82399EC0935C}" name="S2" dataDxfId="141"/>
    <tableColumn id="4" xr3:uid="{FDBB44A2-BC2B-416B-B61A-CC84B5D44F2B}" name="S3" dataDxfId="140"/>
    <tableColumn id="5" xr3:uid="{15E2BA4D-77D2-481A-8536-D72941B12F65}" name="Total" dataDxfId="139">
      <calculatedColumnFormula>SUM(Table195380[[#This Row],[S1]:[S3]])</calculatedColumnFormula>
    </tableColumn>
    <tableColumn id="6" xr3:uid="{5B4D0144-5098-45B1-B991-D6558B8B07F8}" name="Rerata" dataDxfId="138">
      <calculatedColumnFormula>AVERAGE(Table195380[[#This Row],[S1]:[S3]])</calculatedColumnFormula>
    </tableColumn>
  </tableColumns>
  <tableStyleInfo name="TableStyleLight1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34C94EA5-F916-4A01-AFF5-72468BF6B9F0}" name="Table28" displayName="Table28" ref="A2:D11" totalsRowShown="0">
  <autoFilter ref="A2:D11" xr:uid="{34C94EA5-F916-4A01-AFF5-72468BF6B9F0}"/>
  <tableColumns count="4">
    <tableColumn id="1" xr3:uid="{111838ED-FAEE-4C42-B482-4592AA13CF7B}" name="Perlakuan"/>
    <tableColumn id="2" xr3:uid="{10C605C2-F15E-42B7-9A65-FC6A902B0E00}" name="U1"/>
    <tableColumn id="3" xr3:uid="{4F64D976-4446-4FE2-8882-5B2EA8981153}" name="U2"/>
    <tableColumn id="4" xr3:uid="{80B15E80-1074-49C7-BC6C-7584182693A1}" name="U3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80C08B8C-222E-40C0-B46B-4BDD0013E145}" name="Table1876" displayName="Table1876" ref="B20:O32" totalsRowShown="0">
  <autoFilter ref="B20:O32" xr:uid="{BBA0357A-FF43-4E76-9A48-A546040BD067}"/>
  <tableColumns count="14">
    <tableColumn id="1" xr3:uid="{72C2F5DF-D9FE-4D88-999A-A0D43BB4FA17}" name="Parameter"/>
    <tableColumn id="2" xr3:uid="{75BCD033-A448-48CE-8FC6-85DC8CFE406B}" name="S1M1" dataDxfId="269" dataCellStyle="Comma [0]"/>
    <tableColumn id="3" xr3:uid="{EBE09681-5829-4CDA-AB7F-06CF14B57AC5}" name="S2M1" dataDxfId="268" dataCellStyle="Comma [0]"/>
    <tableColumn id="4" xr3:uid="{1BBECDB3-D13F-4BB5-B661-6D44BBAE9577}" name="S3M1" dataDxfId="267" dataCellStyle="Comma [0]"/>
    <tableColumn id="5" xr3:uid="{653A9443-9186-46A9-BFE0-A793AF79A204}" name="S1M2" dataDxfId="266" dataCellStyle="Comma [0]"/>
    <tableColumn id="6" xr3:uid="{4E20B2AB-07A6-495A-822E-E05BC205C00C}" name="S2M2" dataDxfId="265" dataCellStyle="Comma [0]"/>
    <tableColumn id="7" xr3:uid="{91DDEDC1-FC9C-40C8-BC5B-09389F4A2FE3}" name="S3M2" dataDxfId="264" dataCellStyle="Comma [0]"/>
    <tableColumn id="8" xr3:uid="{C8B569A3-E822-4ECF-80BB-66958720E20E}" name="S1M3" dataDxfId="263" dataCellStyle="Comma [0]"/>
    <tableColumn id="9" xr3:uid="{30B31C18-447B-4D88-A9CE-8B707CE64573}" name="S2M3" dataDxfId="262" dataCellStyle="Comma [0]"/>
    <tableColumn id="10" xr3:uid="{5BFFFA16-6DC3-487A-8006-C4D1739B2D86}" name="S3M3" dataDxfId="261" dataCellStyle="Comma [0]"/>
    <tableColumn id="11" xr3:uid="{DB4936E0-6D18-4C7E-9847-1C112AF5495D}" name="Nilai Terbaik" dataDxfId="260" dataCellStyle="Comma [0]"/>
    <tableColumn id="12" xr3:uid="{D735BB71-FA70-4CFF-944F-8E0E4DB6D170}" name="Nilai Terjelek" dataDxfId="259" dataCellStyle="Comma [0]"/>
    <tableColumn id="13" xr3:uid="{3A4D8A4E-41A8-43AF-BB5A-82D1971A3932}" name="Kelompok"/>
    <tableColumn id="14" xr3:uid="{22CDED84-8922-46D9-A731-E952D83C1AD3}" name="Selisih" dataDxfId="258">
      <calculatedColumnFormula>Table1876[[#This Row],[Nilai Terbaik]]-Table1876[[#This Row],[Nilai Terjelek]]</calculatedColumnFormula>
    </tableColumn>
  </tableColumns>
  <tableStyleInfo name="TableStyleLight10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362AAEE0-0B6D-4F85-90C1-E2DA2F7DD4C7}" name="Table29" displayName="Table29" ref="F2:L13" totalsRowShown="0">
  <autoFilter ref="F2:L13" xr:uid="{362AAEE0-0B6D-4F85-90C1-E2DA2F7DD4C7}"/>
  <tableColumns count="7">
    <tableColumn id="1" xr3:uid="{E5C10976-92E8-4529-B10B-0F22198DA226}" name="Perlakuan"/>
    <tableColumn id="2" xr3:uid="{4BBF2BAE-AD03-492A-8A6C-3F8F959E7A1E}" name="U1" dataDxfId="137">
      <calculatedColumnFormula>Table28[[#This Row],[U1]]</calculatedColumnFormula>
    </tableColumn>
    <tableColumn id="3" xr3:uid="{3200E075-FA10-4CE2-855F-734FA1092103}" name="U2" dataDxfId="136">
      <calculatedColumnFormula>Table28[[#This Row],[U2]]</calculatedColumnFormula>
    </tableColumn>
    <tableColumn id="4" xr3:uid="{BD458A07-0CB5-451A-AB17-CC07AE70CCB7}" name="U3" dataDxfId="135">
      <calculatedColumnFormula>Table28[[#This Row],[U3]]</calculatedColumnFormula>
    </tableColumn>
    <tableColumn id="5" xr3:uid="{121D76C0-5804-485C-9450-A5E255A06522}" name="Total" dataDxfId="134">
      <calculatedColumnFormula>SUM(Table29[[#This Row],[U1]:[U3]])</calculatedColumnFormula>
    </tableColumn>
    <tableColumn id="6" xr3:uid="{A7FF50D2-1F8C-4F6A-8E5A-20623ACF1FA0}" name="Rerata" dataDxfId="133">
      <calculatedColumnFormula>AVERAGE(Table29[[#This Row],[U1]:[U3]])</calculatedColumnFormula>
    </tableColumn>
    <tableColumn id="7" xr3:uid="{61420525-F0B3-4D86-8CCE-BD5A67DE7A30}" name="Stdev" dataDxfId="132">
      <calculatedColumnFormula>_xlfn.STDEV.P(Table29[[#This Row],[U1]:[Total]])</calculatedColumnFormula>
    </tableColumn>
  </tableColumns>
  <tableStyleInfo name="TableStyleLight10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9A522836-3945-44A3-8345-10B7C55F9889}" name="Table44247783" displayName="Table44247783" ref="F30:M37" totalsRowShown="0" headerRowDxfId="131" dataDxfId="130">
  <autoFilter ref="F30:M37" xr:uid="{9A522836-3945-44A3-8345-10B7C55F9889}"/>
  <tableColumns count="8">
    <tableColumn id="1" xr3:uid="{426A92EA-C26C-4A3B-B9A8-1A5D611C2E33}" name="Sumber Variasi" dataDxfId="129"/>
    <tableColumn id="2" xr3:uid="{D7C84601-A849-4CBD-A6E6-96209D4E3E9C}" name="d.b" dataDxfId="128"/>
    <tableColumn id="3" xr3:uid="{179404D3-6F81-4E47-AA16-7A7E28B7BC25}" name="J.K" dataDxfId="127">
      <calculatedColumnFormula>G17</calculatedColumnFormula>
    </tableColumn>
    <tableColumn id="4" xr3:uid="{59BA4612-081C-4E23-A4C8-CBCF98FDB696}" name="K.T" dataDxfId="126">
      <calculatedColumnFormula>Table44247783[[#This Row],[J.K]]/Table44247783[[#This Row],[d.b]]</calculatedColumnFormula>
    </tableColumn>
    <tableColumn id="5" xr3:uid="{21804834-1B7A-4FBA-A3F2-3CD07DC43EF5}" name="F hitung" dataDxfId="125">
      <calculatedColumnFormula>Table44247783[[#This Row],[K.T]]/I36</calculatedColumnFormula>
    </tableColumn>
    <tableColumn id="6" xr3:uid="{5E1DE3E4-3127-4686-BEF3-2219F0599CDB}" name="F tabel 5%" dataDxfId="124">
      <calculatedColumnFormula>FINV(0.05,G31,G36)</calculatedColumnFormula>
    </tableColumn>
    <tableColumn id="7" xr3:uid="{167C599D-CA7C-4CBC-AEC0-C8972F63FD1F}" name="F tabel 1%" dataDxfId="123">
      <calculatedColumnFormula>FINV(0.01,G31,G36)</calculatedColumnFormula>
    </tableColumn>
    <tableColumn id="8" xr3:uid="{2FA7EAAC-492B-4D8C-B419-31D189934486}" name="Notasi" dataDxfId="122">
      <calculatedColumnFormula>IF(J31&lt;K31,"tidak berbeda nyata","berbeda nyata")</calculatedColumnFormula>
    </tableColumn>
  </tableColumns>
  <tableStyleInfo name="TableStyleLight10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641C075D-9872-4318-9DC3-06A5CF848B50}" name="Table19538084" displayName="Table19538084" ref="F22:K27" totalsRowShown="0" headerRowDxfId="121" dataDxfId="120">
  <autoFilter ref="F22:K27" xr:uid="{641C075D-9872-4318-9DC3-06A5CF848B50}"/>
  <tableColumns count="6">
    <tableColumn id="1" xr3:uid="{D9713EC3-CBDD-47CE-A68C-96424BAD68C4}" name="Perlakuan" dataDxfId="119"/>
    <tableColumn id="2" xr3:uid="{2F3F054A-91B0-4324-B03D-48BA91313412}" name="S1" dataDxfId="118"/>
    <tableColumn id="3" xr3:uid="{90FC26B6-AB42-48A5-A70B-FC7A2E0C1C6F}" name="S2" dataDxfId="117"/>
    <tableColumn id="4" xr3:uid="{F76D5A9D-CC3F-45DA-A69E-9668D370A5C0}" name="S3" dataDxfId="116"/>
    <tableColumn id="5" xr3:uid="{8A6BFD56-2A9B-4DB2-8648-7F356AE171A7}" name="Total" dataDxfId="115">
      <calculatedColumnFormula>SUM(Table19538084[[#This Row],[S1]:[S3]])</calculatedColumnFormula>
    </tableColumn>
    <tableColumn id="6" xr3:uid="{AD0E8651-E118-4DD7-8BD6-8CA7E3FD41F5}" name="Rerata" dataDxfId="114">
      <calculatedColumnFormula>AVERAGE(Table19538084[[#This Row],[S1]:[S3]])</calculatedColumnFormula>
    </tableColumn>
  </tableColumns>
  <tableStyleInfo name="TableStyleLight10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72C2AE92-B105-48A4-B1A7-F5766C15CD66}" name="Table36" displayName="Table36" ref="A2:D11" totalsRowShown="0">
  <autoFilter ref="A2:D11" xr:uid="{72C2AE92-B105-48A4-B1A7-F5766C15CD66}"/>
  <tableColumns count="4">
    <tableColumn id="1" xr3:uid="{6F3997A3-F509-4C4D-B338-200165FDF38D}" name="Perlakuan"/>
    <tableColumn id="2" xr3:uid="{89FC8128-59BB-426F-A7F3-BF9F6339ADC1}" name="U1"/>
    <tableColumn id="3" xr3:uid="{8CEABEFB-816B-41B0-861F-3666D0641184}" name="U2"/>
    <tableColumn id="4" xr3:uid="{1361D55F-86BF-4EED-9DB4-D6A899047E54}" name="U3"/>
  </tableColumns>
  <tableStyleInfo name="TableStyleLight1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9031A37-73B4-4A17-9DAA-39493E0CFB79}" name="Table37" displayName="Table37" ref="F2:L13" totalsRowShown="0">
  <autoFilter ref="F2:L13" xr:uid="{09031A37-73B4-4A17-9DAA-39493E0CFB79}"/>
  <tableColumns count="7">
    <tableColumn id="1" xr3:uid="{C6119C67-24A6-47D6-860B-69AEDAF26CBC}" name="Perlakuan"/>
    <tableColumn id="2" xr3:uid="{AF57B63F-78C2-48F6-A97B-FEBDA93480DF}" name="U1" dataDxfId="113">
      <calculatedColumnFormula>Table36[[#This Row],[U1]]</calculatedColumnFormula>
    </tableColumn>
    <tableColumn id="3" xr3:uid="{77958DDC-176B-4CE5-B42F-38F8DB28F0C9}" name="U2" dataDxfId="112">
      <calculatedColumnFormula>Table36[[#This Row],[U2]]</calculatedColumnFormula>
    </tableColumn>
    <tableColumn id="4" xr3:uid="{19989B31-F26E-42AF-824A-34FEBF5FA970}" name="U3" dataDxfId="111">
      <calculatedColumnFormula>Table36[[#This Row],[U3]]</calculatedColumnFormula>
    </tableColumn>
    <tableColumn id="5" xr3:uid="{C2335A9A-1515-4FA0-9BA3-8968C66A6FEA}" name="Total" dataDxfId="110">
      <calculatedColumnFormula>SUM(Table37[[#This Row],[U1]:[U3]])</calculatedColumnFormula>
    </tableColumn>
    <tableColumn id="6" xr3:uid="{5BD6885B-3614-43CC-80E0-8131E5DC641C}" name="Rerata" dataDxfId="109">
      <calculatedColumnFormula>AVERAGE(Table37[[#This Row],[U1]:[U3]])</calculatedColumnFormula>
    </tableColumn>
    <tableColumn id="7" xr3:uid="{CC184A41-8C52-43DC-A879-EA29C03D71C2}" name="Stdev" dataDxfId="108">
      <calculatedColumnFormula>_xlfn.STDEV.P(Table37[[#This Row],[U1]:[Total]])</calculatedColumnFormula>
    </tableColumn>
  </tableColumns>
  <tableStyleInfo name="TableStyleLight1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AE79BF5A-FCF6-428C-BC7D-F736197706EA}" name="Table4424778389" displayName="Table4424778389" ref="F29:M36" totalsRowShown="0" headerRowDxfId="107" dataDxfId="106">
  <autoFilter ref="F29:M36" xr:uid="{AE79BF5A-FCF6-428C-BC7D-F736197706EA}"/>
  <tableColumns count="8">
    <tableColumn id="1" xr3:uid="{B5E11A0A-2D4A-4B55-B389-100C558ADEC8}" name="Sumber Variasi" dataDxfId="105"/>
    <tableColumn id="2" xr3:uid="{6B7D9B12-9C8C-4F46-98DE-5EA0C715B9E9}" name="d.b" dataDxfId="104"/>
    <tableColumn id="3" xr3:uid="{22F71BB9-BB29-4294-847C-C9D7DE8E5E66}" name="J.K" dataDxfId="103">
      <calculatedColumnFormula>G17</calculatedColumnFormula>
    </tableColumn>
    <tableColumn id="4" xr3:uid="{923880D6-21BE-4E0C-A602-16FFA06598D3}" name="K.T" dataDxfId="102">
      <calculatedColumnFormula>Table4424778389[[#This Row],[J.K]]/Table4424778389[[#This Row],[d.b]]</calculatedColumnFormula>
    </tableColumn>
    <tableColumn id="5" xr3:uid="{5D905B9F-B740-4B41-BC55-6BA3BAB81152}" name="F hitung" dataDxfId="101">
      <calculatedColumnFormula>Table4424778389[[#This Row],[K.T]]/I35</calculatedColumnFormula>
    </tableColumn>
    <tableColumn id="6" xr3:uid="{5C7FE9DB-A65A-4454-99F8-57C52FDB3675}" name="F tabel 5%" dataDxfId="100">
      <calculatedColumnFormula>FINV(0.05,G30,G35)</calculatedColumnFormula>
    </tableColumn>
    <tableColumn id="7" xr3:uid="{B9B6BBF8-7BDE-44D6-A6C5-238CB48018F1}" name="F tabel 1%" dataDxfId="99">
      <calculatedColumnFormula>FINV(0.01,G30,G35)</calculatedColumnFormula>
    </tableColumn>
    <tableColumn id="8" xr3:uid="{07C34D1B-C722-4AE0-8186-2CE3EA4A9D71}" name="Notasi" dataDxfId="98">
      <calculatedColumnFormula>IF(J30&lt;K30,"tidak berbeda nyata","berbeda nyata")</calculatedColumnFormula>
    </tableColumn>
  </tableColumns>
  <tableStyleInfo name="TableStyleLight10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DAF1EC0E-74C1-45AB-B239-B6281A5A3CDD}" name="Table1953808490" displayName="Table1953808490" ref="F22:K27" totalsRowShown="0" headerRowDxfId="97" dataDxfId="96">
  <autoFilter ref="F22:K27" xr:uid="{DAF1EC0E-74C1-45AB-B239-B6281A5A3CDD}"/>
  <tableColumns count="6">
    <tableColumn id="1" xr3:uid="{F6D750EB-1532-4E3A-A729-BF5FE5DDFCEC}" name="Perlakuan" dataDxfId="95"/>
    <tableColumn id="2" xr3:uid="{05ACF50A-D4A4-4243-9ED5-7CCCBD80B817}" name="S1" dataDxfId="94"/>
    <tableColumn id="3" xr3:uid="{A14EE869-7B6C-4D30-8985-143F074A77B4}" name="S2" dataDxfId="93"/>
    <tableColumn id="4" xr3:uid="{CD83AC39-FC46-43EB-A065-1EE2C52616CB}" name="S3" dataDxfId="92"/>
    <tableColumn id="5" xr3:uid="{07F2C716-AF72-4A78-AC03-E9C90889748D}" name="Total" dataDxfId="91">
      <calculatedColumnFormula>SUM(Table1953808490[[#This Row],[S1]:[S3]])</calculatedColumnFormula>
    </tableColumn>
    <tableColumn id="6" xr3:uid="{FFDE10EC-79D0-4927-AB50-37AFDD8676E1}" name="Rerata" dataDxfId="90">
      <calculatedColumnFormula>AVERAGE(Table1953808490[[#This Row],[S1]:[S3]])</calculatedColumnFormula>
    </tableColumn>
  </tableColumns>
  <tableStyleInfo name="TableStyleLight10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D7A238A4-0D51-43F5-B623-3C9F341943AF}" name="Table45" displayName="Table45" ref="A2:D11" totalsRowShown="0">
  <tableColumns count="4">
    <tableColumn id="1" xr3:uid="{B0F81108-5CB4-4A07-B263-984222B39224}" name="Perlakuan"/>
    <tableColumn id="2" xr3:uid="{F692D7BC-D98F-4D62-88F7-1E9C2C66C111}" name="U1"/>
    <tableColumn id="3" xr3:uid="{E738A29D-7782-4BDF-8E79-97E74AE7F921}" name="U2"/>
    <tableColumn id="4" xr3:uid="{1BE48544-E109-49F5-B118-5A29564F06DC}" name="U3"/>
  </tableColumns>
  <tableStyleInfo name="TableStyleLight1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31909788-7850-41EA-91F4-315D3F6F9A79}" name="Table46" displayName="Table46" ref="F2:L13" totalsRowShown="0">
  <tableColumns count="7">
    <tableColumn id="1" xr3:uid="{6858918B-7E2D-4983-BFB5-E5080B48B4ED}" name="Perlakuan"/>
    <tableColumn id="2" xr3:uid="{C30620D1-CA3D-4D04-9966-B32A21202638}" name="U1" dataDxfId="89">
      <calculatedColumnFormula>Table45[[#This Row],[U1]]</calculatedColumnFormula>
    </tableColumn>
    <tableColumn id="3" xr3:uid="{DA1B24E4-ECC7-41CB-B9F0-2B23A665433E}" name="U2" dataDxfId="88">
      <calculatedColumnFormula>Table45[[#This Row],[U2]]</calculatedColumnFormula>
    </tableColumn>
    <tableColumn id="4" xr3:uid="{ECD5C27C-933B-44FD-9461-C989BC1B1F41}" name="U3" dataDxfId="87">
      <calculatedColumnFormula>Table45[[#This Row],[U3]]</calculatedColumnFormula>
    </tableColumn>
    <tableColumn id="5" xr3:uid="{2F62C1F8-4074-4879-8FF8-594A18333262}" name="Total" dataDxfId="86">
      <calculatedColumnFormula>SUM(Table46[[#This Row],[U1]:[U3]])</calculatedColumnFormula>
    </tableColumn>
    <tableColumn id="6" xr3:uid="{256B1BD0-B237-4404-BCFB-2E16A87DB117}" name="Rerata" dataDxfId="85">
      <calculatedColumnFormula>AVERAGE(Table46[[#This Row],[U1]:[U3]])</calculatedColumnFormula>
    </tableColumn>
    <tableColumn id="7" xr3:uid="{72D98F10-9D3B-4787-AB92-B7BCBEEB03C4}" name="Stdev" dataDxfId="84">
      <calculatedColumnFormula>_xlfn.STDEV.P(Table46[[#This Row],[U1]:[U3]])</calculatedColumnFormula>
    </tableColumn>
  </tableColumns>
  <tableStyleInfo name="TableStyleLight1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4AC31181-1F09-4A21-9ECD-B54BDA4C8D0A}" name="Table442477838991" displayName="Table442477838991" ref="F29:M36" totalsRowShown="0" headerRowDxfId="83" dataDxfId="82">
  <autoFilter ref="F29:M36" xr:uid="{4AC31181-1F09-4A21-9ECD-B54BDA4C8D0A}"/>
  <tableColumns count="8">
    <tableColumn id="1" xr3:uid="{576738E9-6542-49A9-BE4E-089E88CD445E}" name="Sumber Variasi" dataDxfId="81"/>
    <tableColumn id="2" xr3:uid="{9E460D32-2EA3-4B4C-87E8-0F8B29C5DE68}" name="d.b" dataDxfId="80"/>
    <tableColumn id="3" xr3:uid="{2DCD6512-C228-446A-AAAD-2F54977C872C}" name="J.K" dataDxfId="79">
      <calculatedColumnFormula>G17</calculatedColumnFormula>
    </tableColumn>
    <tableColumn id="4" xr3:uid="{E7C37F44-5BF1-4E77-AF08-79BFA00F5291}" name="K.T" dataDxfId="78">
      <calculatedColumnFormula>Table442477838991[[#This Row],[J.K]]/Table442477838991[[#This Row],[d.b]]</calculatedColumnFormula>
    </tableColumn>
    <tableColumn id="5" xr3:uid="{D5043EAD-CD46-4B51-B3F8-A50A9F8E9704}" name="F hitung" dataDxfId="77">
      <calculatedColumnFormula>Table442477838991[[#This Row],[K.T]]/I35</calculatedColumnFormula>
    </tableColumn>
    <tableColumn id="6" xr3:uid="{859698B5-61B8-433F-A1B9-A1F3E845A889}" name="F tabel 5%" dataDxfId="76">
      <calculatedColumnFormula>FINV(0.05,G30,G35)</calculatedColumnFormula>
    </tableColumn>
    <tableColumn id="7" xr3:uid="{91CCA960-9E7A-4B3F-98A1-1CF724FDFBA1}" name="F tabel 1%" dataDxfId="75">
      <calculatedColumnFormula>FINV(0.01,G30,G35)</calculatedColumnFormula>
    </tableColumn>
    <tableColumn id="8" xr3:uid="{D0C72797-6168-498B-8BFA-4DC0141D9713}" name="Notasi" dataDxfId="74">
      <calculatedColumnFormula>IF(J30&lt;K30,"tidak berbeda nyata","berbeda nyata")</calculatedColumnFormula>
    </tableColumn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5611EB7B-3318-4D08-A1F2-7A22C0E59C9E}" name="Table17" displayName="Table17" ref="A2:D11" totalsRowShown="0" headerRowDxfId="257" dataDxfId="256">
  <autoFilter ref="A2:D11" xr:uid="{5611EB7B-3318-4D08-A1F2-7A22C0E59C9E}"/>
  <tableColumns count="4">
    <tableColumn id="1" xr3:uid="{B3812395-B3E8-4E3F-898E-758A4B3567F2}" name="Perlakuan" dataDxfId="255"/>
    <tableColumn id="2" xr3:uid="{DD8C31B1-346D-442D-B684-B75B8829C064}" name="U1" dataDxfId="254"/>
    <tableColumn id="3" xr3:uid="{1A3417B4-C02E-4235-AF6D-7D7FE6CD1F8D}" name="U2" dataDxfId="253"/>
    <tableColumn id="4" xr3:uid="{F41FBC34-A1F7-49F4-AD35-7BB9545AB24F}" name="U3" dataDxfId="252"/>
  </tableColumns>
  <tableStyleInfo name="TableStyleLight19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5CC814DC-4991-4F86-A3C7-5DBF4BD06D1F}" name="Table195380849092" displayName="Table195380849092" ref="F22:K27" totalsRowShown="0" headerRowDxfId="73" dataDxfId="72">
  <autoFilter ref="F22:K27" xr:uid="{5CC814DC-4991-4F86-A3C7-5DBF4BD06D1F}"/>
  <tableColumns count="6">
    <tableColumn id="1" xr3:uid="{286DEA84-8C01-4640-B840-9125347A0259}" name="Perlakuan" dataDxfId="71"/>
    <tableColumn id="2" xr3:uid="{6EE0D0E9-47D7-4421-8C91-5324495BEA8C}" name="S1" dataDxfId="70"/>
    <tableColumn id="3" xr3:uid="{80F2F0A0-94F9-45CB-B680-8B698BE01F0E}" name="S2" dataDxfId="69"/>
    <tableColumn id="4" xr3:uid="{A7D826AF-1312-47D7-ACA1-F1C9143384BF}" name="S3" dataDxfId="68"/>
    <tableColumn id="5" xr3:uid="{82014A1A-7330-4F9C-905E-DC11F7C3E103}" name="Total" dataDxfId="67">
      <calculatedColumnFormula>SUM(Table195380849092[[#This Row],[S1]:[S3]])</calculatedColumnFormula>
    </tableColumn>
    <tableColumn id="6" xr3:uid="{B3BD21BE-1946-4C1B-A4F2-4E3F57FDAFAF}" name="Rerata" dataDxfId="66">
      <calculatedColumnFormula>AVERAGE(Table195380849092[[#This Row],[S1]:[S3]])</calculatedColumnFormula>
    </tableColumn>
  </tableColumns>
  <tableStyleInfo name="TableStyleLight10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573DBF1B-F372-41E3-8499-71A9A0C4E783}" name="Table4659" displayName="Table4659" ref="B2:I13" totalsRowShown="0" headerRowDxfId="65" dataDxfId="64">
  <autoFilter ref="B2:I13" xr:uid="{573DBF1B-F372-41E3-8499-71A9A0C4E783}"/>
  <tableColumns count="8">
    <tableColumn id="1" xr3:uid="{BD501C7C-9FF2-4F82-B9EE-8F82822889C7}" name="Perlakuan" dataDxfId="63"/>
    <tableColumn id="2" xr3:uid="{6E3E7E0A-C4CE-4EAB-AECC-AE52D38D5DA4}" name="U1" dataDxfId="62" dataCellStyle="Comma [0]"/>
    <tableColumn id="3" xr3:uid="{69B3E7B6-7AC8-452B-AD9A-12764D2804F4}" name="U2" dataDxfId="61" dataCellStyle="Comma [0]"/>
    <tableColumn id="4" xr3:uid="{C382FF66-402F-49F8-8514-84B18B98D836}" name="U3" dataDxfId="60" dataCellStyle="Comma [0]"/>
    <tableColumn id="5" xr3:uid="{31F9A876-AE05-4CFB-8736-09481B5C2AA7}" name="Total" dataDxfId="59" dataCellStyle="Comma [0]">
      <calculatedColumnFormula>SUM(Table4659[[#This Row],[U1]:[U2]])</calculatedColumnFormula>
    </tableColumn>
    <tableColumn id="6" xr3:uid="{323F3B47-592A-4BD3-A508-7111987E58C8}" name="Rerata" dataDxfId="58" dataCellStyle="Comma [0]">
      <calculatedColumnFormula>AVERAGE(Table4659[[#This Row],[U1]:[U3]])</calculatedColumnFormula>
    </tableColumn>
    <tableColumn id="7" xr3:uid="{5F1C3943-39C5-42EB-8367-5C3AA7996256}" name="Stdev" dataDxfId="57" dataCellStyle="Comma [0]">
      <calculatedColumnFormula>STDEV(Table4659[[#This Row],[U1]:[U3]])</calculatedColumnFormula>
    </tableColumn>
    <tableColumn id="8" xr3:uid="{53F9F710-F33C-49FC-B38C-CFE456D0800C}" name="Column1" dataDxfId="56" dataCellStyle="Comma [0]"/>
  </tableColumns>
  <tableStyleInfo name="TableStyleLight1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AFA4C72D-0E7E-4C42-BF53-EE5A7B7F0EAF}" name="Table4778" displayName="Table4778" ref="B71:G76" totalsRowShown="0" headerRowDxfId="55" dataDxfId="54">
  <tableColumns count="6">
    <tableColumn id="1" xr3:uid="{D0A96928-D89D-43F7-A8BD-EA0E87D355D1}" name="Perlakuan" dataDxfId="53"/>
    <tableColumn id="2" xr3:uid="{2A8786BD-EF88-4AA8-89CF-2A124B476AC9}" name="S1" dataDxfId="52" dataCellStyle="Comma [0]"/>
    <tableColumn id="3" xr3:uid="{1F2C3741-760C-46AF-AF45-24B0A26F94C2}" name="S2" dataDxfId="51" dataCellStyle="Comma [0]"/>
    <tableColumn id="4" xr3:uid="{6CE0A6BF-EDD6-4262-BF85-F510C50E9710}" name="S3" dataDxfId="50" dataCellStyle="Comma [0]"/>
    <tableColumn id="5" xr3:uid="{200420F3-E281-4C63-A1A9-2B519A0E8399}" name="Total" dataDxfId="49" dataCellStyle="Comma [0]">
      <calculatedColumnFormula>SUM(Table4778[[#This Row],[S1]:[S3]])</calculatedColumnFormula>
    </tableColumn>
    <tableColumn id="6" xr3:uid="{B4570943-D929-4EFB-93AE-50CE16FA2BBA}" name="Rerata" dataDxfId="48" dataCellStyle="Comma [0]">
      <calculatedColumnFormula>AVERAGE(Table4778[[#This Row],[S1]:[S3]])</calculatedColumnFormula>
    </tableColumn>
  </tableColumns>
  <tableStyleInfo name="TableStyleLight1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401CAD4-A7D4-462E-AC5A-68F90DDAD999}" name="Table4879" displayName="Table4879" ref="B83:I90" totalsRowShown="0" headerRowDxfId="47" dataDxfId="46">
  <tableColumns count="8">
    <tableColumn id="1" xr3:uid="{EFDC0800-925F-44CA-BF9B-C8A0F0EF2E46}" name="Sumber Variasi" dataDxfId="45"/>
    <tableColumn id="2" xr3:uid="{C8D92266-A925-4B15-8103-35E48A7F726F}" name="d.b" dataDxfId="44"/>
    <tableColumn id="3" xr3:uid="{BBF9D1B3-7CFF-4C6C-9796-58141B1F323F}" name="J.K" dataDxfId="43" dataCellStyle="Comma [0]">
      <calculatedColumnFormula>C66</calculatedColumnFormula>
    </tableColumn>
    <tableColumn id="4" xr3:uid="{020CFAB5-3290-4881-B83E-1A31FAFC5D0D}" name="K.T" dataDxfId="42" dataCellStyle="Comma [0]">
      <calculatedColumnFormula>D84/C84</calculatedColumnFormula>
    </tableColumn>
    <tableColumn id="5" xr3:uid="{6A9DAEB6-7CC4-4BEC-9C00-FD38EDE9CB9D}" name="F hitung" dataDxfId="41" dataCellStyle="Comma [0]">
      <calculatedColumnFormula>Table4879[[#This Row],[K.T]]/E89</calculatedColumnFormula>
    </tableColumn>
    <tableColumn id="6" xr3:uid="{01B3FFA7-B5AA-4E74-92C5-EC17C7C484EB}" name="F tabel 5%" dataDxfId="40" dataCellStyle="Comma [0]">
      <calculatedColumnFormula>FINV(0.05,C84,C89)</calculatedColumnFormula>
    </tableColumn>
    <tableColumn id="7" xr3:uid="{EDD39471-56E7-4C0C-9F9A-0375205B59B8}" name="F tabel 1%" dataDxfId="39" dataCellStyle="Comma [0]">
      <calculatedColumnFormula>FINV(0.01,C84,C89)</calculatedColumnFormula>
    </tableColumn>
    <tableColumn id="8" xr3:uid="{ACFD8499-9A66-4826-BBB1-A3EE34B24E17}" name="Notasi" dataDxfId="38">
      <calculatedColumnFormula>IF(F84&lt;G84,"tidak berbeda nyata","berbeda nyata")</calculatedColumnFormula>
    </tableColumn>
  </tableColumns>
  <tableStyleInfo name="TableStyleLight1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E6A08BC2-D2EF-4A29-A649-887D9DBEE8F3}" name="Table44247783899193" displayName="Table44247783899193" ref="B29:I36" totalsRowShown="0" headerRowDxfId="37" dataDxfId="36">
  <autoFilter ref="B29:I36" xr:uid="{E6A08BC2-D2EF-4A29-A649-887D9DBEE8F3}"/>
  <tableColumns count="8">
    <tableColumn id="1" xr3:uid="{E78CBD2D-24A4-41FD-9CEF-2BFE6C00A399}" name="Sumber Variasi" dataDxfId="35"/>
    <tableColumn id="2" xr3:uid="{FF1814D5-CFC9-4ADE-A7ED-9447197B3FBD}" name="d.b" dataDxfId="34"/>
    <tableColumn id="3" xr3:uid="{9CE319D4-29B9-41E5-9F57-9235397DECCA}" name="J.K" dataDxfId="33">
      <calculatedColumnFormula>C17</calculatedColumnFormula>
    </tableColumn>
    <tableColumn id="4" xr3:uid="{4D6AE18E-511F-4326-93C9-D264B3868260}" name="K.T" dataDxfId="32">
      <calculatedColumnFormula>Table44247783899193[[#This Row],[J.K]]/Table44247783899193[[#This Row],[d.b]]</calculatedColumnFormula>
    </tableColumn>
    <tableColumn id="5" xr3:uid="{85F9A143-78F3-49A6-9C8B-7682260B028D}" name="F hitung" dataDxfId="31">
      <calculatedColumnFormula>Table44247783899193[[#This Row],[K.T]]/E35</calculatedColumnFormula>
    </tableColumn>
    <tableColumn id="6" xr3:uid="{5B46E80B-03CB-4BDE-BC7A-C4137FB2D67A}" name="F tabel 5%" dataDxfId="30">
      <calculatedColumnFormula>FINV(0.05,C30,C35)</calculatedColumnFormula>
    </tableColumn>
    <tableColumn id="7" xr3:uid="{3DB7A74E-CF9B-4849-9B16-12EF9B2EC898}" name="F tabel 1%" dataDxfId="29">
      <calculatedColumnFormula>FINV(0.01,C30,C35)</calculatedColumnFormula>
    </tableColumn>
    <tableColumn id="8" xr3:uid="{D6C3B301-523F-42B3-B2C2-E90BB8AB4300}" name="Notasi" dataDxfId="28">
      <calculatedColumnFormula>IF(F30&lt;G30,"tidak berbeda nyata","berbeda nyata")</calculatedColumnFormula>
    </tableColumn>
  </tableColumns>
  <tableStyleInfo name="TableStyleLight10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6662A0CE-478E-4F07-BB17-04C7713864C7}" name="Table19538084909294" displayName="Table19538084909294" ref="B22:G27" totalsRowShown="0" headerRowDxfId="27" dataDxfId="26">
  <autoFilter ref="B22:G27" xr:uid="{6662A0CE-478E-4F07-BB17-04C7713864C7}"/>
  <tableColumns count="6">
    <tableColumn id="1" xr3:uid="{25BA1954-D4F1-473B-87C8-83813F4FE4B2}" name="Perlakuan" dataDxfId="25"/>
    <tableColumn id="2" xr3:uid="{A6121C8D-7674-44F6-A8BB-A5BC96A78D9E}" name="S1" dataDxfId="24"/>
    <tableColumn id="3" xr3:uid="{F6EEA1C5-6A2F-465F-AEE9-EF51D6D4F6F7}" name="S2" dataDxfId="23"/>
    <tableColumn id="4" xr3:uid="{7F3EAD0C-F755-4142-8331-44F591307E08}" name="S3" dataDxfId="22"/>
    <tableColumn id="5" xr3:uid="{226D3331-31C5-41A5-A645-5143E5F1EDEA}" name="Total" dataDxfId="21">
      <calculatedColumnFormula>SUM(Table19538084909294[[#This Row],[S1]:[S3]])</calculatedColumnFormula>
    </tableColumn>
    <tableColumn id="6" xr3:uid="{E871DD5A-774E-40F3-B115-2EDA64C2E925}" name="Rerata" dataDxfId="20">
      <calculatedColumnFormula>AVERAGE(Table19538084909294[[#This Row],[S1]:[S3]])</calculatedColumnFormula>
    </tableColumn>
  </tableColumns>
  <tableStyleInfo name="TableStyleLight10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0522FA61-67EE-4F7F-BCB4-4FD8B9EC87FC}" name="Table163" displayName="Table163" ref="A1:J33" totalsRowShown="0">
  <tableColumns count="10">
    <tableColumn id="1" xr3:uid="{92204CF9-6BBB-4F2F-8B5B-EE2777F7C732}" name="Nama"/>
    <tableColumn id="2" xr3:uid="{AECB7C06-A357-4573-83FC-921A2B2AB25D}" name="912"/>
    <tableColumn id="3" xr3:uid="{AAFF5FC3-1ADE-4932-8BF9-49BBAB62F682}" name="621"/>
    <tableColumn id="4" xr3:uid="{2775938E-FB99-4FF2-BFD7-6D8093AB180C}" name="414"/>
    <tableColumn id="5" xr3:uid="{A39B142C-67A1-4B7C-9BF4-1DC2DDAFF938}" name="221"/>
    <tableColumn id="6" xr3:uid="{43F96072-CA4A-47F1-8018-CAA47009916C}" name="717"/>
    <tableColumn id="7" xr3:uid="{3C12DBFF-A790-4259-A29F-509814BCFD8C}" name="521"/>
    <tableColumn id="8" xr3:uid="{04015E44-CD40-4408-B9F4-9FB4D589C7F0}" name="819"/>
    <tableColumn id="9" xr3:uid="{9F8C3ED3-F069-4707-87DC-9E775812998F}" name="321"/>
    <tableColumn id="10" xr3:uid="{CE643F20-B745-4808-B1F3-E09B35AE05D8}" name="112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5F76C3CA-19FE-4E8A-B721-9C04CE1845B9}" name="Table864" displayName="Table864" ref="K1:L33" totalsRowShown="0">
  <tableColumns count="2">
    <tableColumn id="1" xr3:uid="{ED27132B-9860-4529-9300-07DC4D47995D}" name="Total" dataDxfId="18">
      <calculatedColumnFormula>SUM(Table163[[#This Row],[912]:[112]])</calculatedColumnFormula>
    </tableColumn>
    <tableColumn id="2" xr3:uid="{5C4C13F8-7E88-4A0E-AFD8-2ADDC8C5A0DA}" name="Rerata" dataDxfId="17">
      <calculatedColumnFormula>AVERAGE(Table163[[#This Row],[112]])</calculatedColumnFormula>
    </tableColumn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E53CFBE-18D1-4645-82A2-2286EDB234E4}" name="Table1104" displayName="Table1104" ref="N1:W33" totalsRowShown="0">
  <autoFilter ref="N1:W33" xr:uid="{4E53CFBE-18D1-4645-82A2-2286EDB234E4}"/>
  <tableColumns count="10">
    <tableColumn id="1" xr3:uid="{A2C1FD97-C892-427C-AEE1-F6C5CAB4A814}" name="Nama"/>
    <tableColumn id="2" xr3:uid="{22748762-74C2-4A79-8AC1-C7B6AEBD0DB9}" name="912"/>
    <tableColumn id="3" xr3:uid="{1662B709-9847-42C3-B51E-80A97B926F43}" name="621"/>
    <tableColumn id="4" xr3:uid="{0C37F22A-2DF2-406F-B9D4-FA519555A538}" name="414"/>
    <tableColumn id="5" xr3:uid="{D2C03029-6F56-4044-A13F-2D6C5926E925}" name="221"/>
    <tableColumn id="6" xr3:uid="{89761892-D9A7-4503-91C3-D4868A1E84E6}" name="717"/>
    <tableColumn id="7" xr3:uid="{007074BB-525C-402C-A79F-A156B9C52D50}" name="521"/>
    <tableColumn id="8" xr3:uid="{B9EA0B70-B111-4EF7-9655-E681FB260B94}" name="819"/>
    <tableColumn id="9" xr3:uid="{7478793E-7A91-45C3-9E12-66AC346764DC}" name="321"/>
    <tableColumn id="10" xr3:uid="{133543B1-7B6B-4E9C-8E60-A3804DE2BA2E}" name="112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B2ECEFE-4AB7-4144-B85D-C0B6DB98D675}" name="Table8115" displayName="Table8115" ref="X1:Y33" totalsRowShown="0">
  <autoFilter ref="X1:Y33" xr:uid="{7B2ECEFE-4AB7-4144-B85D-C0B6DB98D675}"/>
  <tableColumns count="2">
    <tableColumn id="1" xr3:uid="{C2A882E7-E838-404C-97E9-863939A778AB}" name="Total" dataDxfId="16">
      <calculatedColumnFormula>SUM([1]!Table110[[#This Row],[912]:[112]])</calculatedColumnFormula>
    </tableColumn>
    <tableColumn id="2" xr3:uid="{BF8820C4-D2B6-4566-9576-9F27B4027F0B}" name="Rerata" dataDxfId="15">
      <calculatedColumnFormula>AVERAGE([1]!Table110[[#This Row],[912]:[112]])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69EF892E-B7D8-447C-9D05-70436A6326D6}" name="Table18" displayName="Table18" ref="F2:L13" totalsRowShown="0" headerRowDxfId="251" dataDxfId="250">
  <autoFilter ref="F2:L13" xr:uid="{69EF892E-B7D8-447C-9D05-70436A6326D6}"/>
  <tableColumns count="7">
    <tableColumn id="1" xr3:uid="{119F642B-D2FE-41E9-BCEF-CA39BF9204C0}" name="Perlakuan" dataDxfId="249"/>
    <tableColumn id="2" xr3:uid="{D807E2F4-A366-4C25-B622-55F9A3C1EF62}" name="U1" dataDxfId="248"/>
    <tableColumn id="3" xr3:uid="{58E13832-21CA-445D-926F-02D27CB9245C}" name="U2" dataDxfId="247"/>
    <tableColumn id="4" xr3:uid="{5C13DC9C-C3E1-465F-845B-0FBE9777B4F2}" name="U3" dataDxfId="246"/>
    <tableColumn id="5" xr3:uid="{4464BA4C-4B66-49E0-ADB0-2E2FC312AC56}" name="Total" dataDxfId="245">
      <calculatedColumnFormula>SUM(Table18[[#This Row],[U1]:[U3]])</calculatedColumnFormula>
    </tableColumn>
    <tableColumn id="6" xr3:uid="{986588F9-ECC6-4476-BEE4-44EBC93F2DB6}" name="Rerata" dataDxfId="244">
      <calculatedColumnFormula>AVERAGE(Table18[[#This Row],[U1]:[U3]])</calculatedColumnFormula>
    </tableColumn>
    <tableColumn id="7" xr3:uid="{F1EB6CFB-41C5-4506-875A-20B24CACC998}" name="Stdev" dataDxfId="243">
      <calculatedColumnFormula>_xlfn.STDEV.P(Table18[[#This Row],[U1]:[U3]])</calculatedColumnFormula>
    </tableColumn>
  </tableColumns>
  <tableStyleInfo name="TableStyleLight20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40FDDBD9-0BDD-41DB-AA39-FB665361F63C}" name="Table1458" displayName="Table1458" ref="A1:J33" totalsRowShown="0">
  <tableColumns count="10">
    <tableColumn id="1" xr3:uid="{754179C0-6B94-470B-B97E-DEDD2348EB2F}" name="Nama"/>
    <tableColumn id="2" xr3:uid="{F8394FA7-B09E-4BEB-9F8E-006059B4148C}" name="912"/>
    <tableColumn id="3" xr3:uid="{EB4A05E1-1BA7-485A-BD27-34E1FE778169}" name="621"/>
    <tableColumn id="4" xr3:uid="{809B35C6-B735-4730-B730-4B4AF62910DF}" name="414"/>
    <tableColumn id="5" xr3:uid="{5829A3C2-B956-4156-AED1-5606BAE3CB74}" name="221"/>
    <tableColumn id="6" xr3:uid="{AB4A0270-028C-4DB6-AD64-FC9404DC4DE4}" name="717"/>
    <tableColumn id="7" xr3:uid="{D0CEA7CD-8DF9-4A96-BB6F-E4356F72663E}" name="521"/>
    <tableColumn id="8" xr3:uid="{1DB1BD14-C7EB-4437-A8EB-B153BF297ED0}" name="819"/>
    <tableColumn id="9" xr3:uid="{805FEE12-390E-4A5C-B452-E86BEC3F1B3C}" name="321"/>
    <tableColumn id="10" xr3:uid="{EBA993C1-1AD1-49DE-944E-9536CA6CC6C6}" name="112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2E0DECF6-D5DF-42C0-928C-7FFAC73D151D}" name="Table760" displayName="Table760" ref="K1:L33" totalsRowShown="0">
  <tableColumns count="2">
    <tableColumn id="1" xr3:uid="{7BDE520C-70ED-4549-A57F-413074EA0160}" name="Total" dataDxfId="13">
      <calculatedColumnFormula>SUM(Table1458[[#This Row],[912]:[112]])</calculatedColumnFormula>
    </tableColumn>
    <tableColumn id="2" xr3:uid="{F6F40CB8-EAC3-45A3-9228-9B321630E9F5}" name="Rerata" dataDxfId="12">
      <calculatedColumnFormula>AVERAGE(Table1458[[#This Row],[912]:[112]])</calculatedColumnFormula>
    </tableColumn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6AD1727-9A61-4DBA-8961-5BCAFA74F0FB}" name="Table14127" displayName="Table14127" ref="N1:W33" totalsRowShown="0">
  <autoFilter ref="N1:W33" xr:uid="{F6AD1727-9A61-4DBA-8961-5BCAFA74F0FB}"/>
  <tableColumns count="10">
    <tableColumn id="1" xr3:uid="{732AD73B-B633-42F9-9250-619AF1C9FE58}" name="Nama"/>
    <tableColumn id="2" xr3:uid="{4E2F618A-58B7-480C-93D0-DE521CC2130D}" name="912"/>
    <tableColumn id="3" xr3:uid="{ED3EB4E1-23AA-42AA-8724-35F87892429E}" name="621"/>
    <tableColumn id="4" xr3:uid="{F6265996-F7B7-4E81-90D0-94F54816C72D}" name="414"/>
    <tableColumn id="5" xr3:uid="{4A465215-0963-4730-8A32-C9F6CA7E3E79}" name="221"/>
    <tableColumn id="6" xr3:uid="{39567D59-81BA-4A79-BC73-E1D402C9CC73}" name="717"/>
    <tableColumn id="7" xr3:uid="{2C544612-4FBD-4B8D-816D-DC1E368931D1}" name="521"/>
    <tableColumn id="8" xr3:uid="{D4636395-F1CA-4245-AF89-F4BA20844100}" name="819"/>
    <tableColumn id="9" xr3:uid="{38BA6839-6A4F-4503-9E98-4CBB526D2365}" name="321"/>
    <tableColumn id="10" xr3:uid="{4568558C-4EC4-4246-9D26-7E78A042766D}" name="112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CDCCDE8-C028-417E-99D8-804BA9FF6606}" name="Table7139" displayName="Table7139" ref="X1:Y33" totalsRowShown="0">
  <autoFilter ref="X1:Y33" xr:uid="{FCDCCDE8-C028-417E-99D8-804BA9FF6606}"/>
  <tableColumns count="2">
    <tableColumn id="1" xr3:uid="{C0252D33-ECC3-431A-B800-025C85802049}" name="Total" dataDxfId="11">
      <calculatedColumnFormula>SUM([1]!Table1412[[#This Row],[912]:[321]])</calculatedColumnFormula>
    </tableColumn>
    <tableColumn id="2" xr3:uid="{FA633A34-8919-44F1-AB6D-C07F3127B051}" name="Rerata" dataDxfId="10">
      <calculatedColumnFormula>AVERAGE([1]!Table1412[[#This Row],[912]:[112]])</calculatedColumnFormula>
    </tableColumn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FEC6C77F-B348-4BA3-A4D2-2E5B5CD538F7}" name="Table145" displayName="Table145" ref="A1:J33" totalsRowShown="0">
  <autoFilter ref="A1:J33" xr:uid="{1C82B09F-6273-43D4-BCC1-F384BC31EF46}"/>
  <tableColumns count="10">
    <tableColumn id="1" xr3:uid="{A5487E24-3B76-4CA9-BB49-B576E2A93457}" name="Nama"/>
    <tableColumn id="2" xr3:uid="{C6B1B6D9-980B-40B2-88BB-8A6C5593FC04}" name="912"/>
    <tableColumn id="3" xr3:uid="{C179CAC7-D941-474E-8CC9-1A88928A3C12}" name="621"/>
    <tableColumn id="4" xr3:uid="{B3978E16-5611-435C-8EAF-D2D084AA0381}" name="414"/>
    <tableColumn id="5" xr3:uid="{A19F2E47-6917-4176-AE39-641A312794B2}" name="221"/>
    <tableColumn id="6" xr3:uid="{40EA63DC-33F4-4941-BF10-D795F7D24DB1}" name="717"/>
    <tableColumn id="7" xr3:uid="{BC635021-092D-4FA3-A4C6-FAE6E91AD90F}" name="521"/>
    <tableColumn id="8" xr3:uid="{267BB1C3-3708-4020-AA2E-514E3F17BAA0}" name="819"/>
    <tableColumn id="9" xr3:uid="{3A8EA2F0-40EE-4482-9358-6C12CDF75DF5}" name="321"/>
    <tableColumn id="10" xr3:uid="{9C108065-1191-4FBB-B163-548F7952F254}" name="112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BD48FBA5-A18C-4128-92E8-13CE44970F0B}" name="Table672" displayName="Table672" ref="K1:L33" totalsRowShown="0">
  <autoFilter ref="K1:L33" xr:uid="{EBD7BE57-653C-4F62-8B9B-A9CBCD7D8D84}"/>
  <tableColumns count="2">
    <tableColumn id="1" xr3:uid="{DD99CEB8-37D2-4354-AE72-A7959370ADFA}" name="Total" dataDxfId="8">
      <calculatedColumnFormula>SUM(Table145[[#This Row],[912]:[112]])</calculatedColumnFormula>
    </tableColumn>
    <tableColumn id="2" xr3:uid="{93E7F843-F46B-4EE5-BFE6-4EFEEBB80286}" name="Rerata" dataDxfId="7">
      <calculatedColumnFormula>AVERAGE(Table145[[#This Row],[112]])</calculatedColumnFormula>
    </tableColumn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1E92F3E-22F5-42E4-A2E4-3A44E427DB90}" name="Table1451410" displayName="Table1451410" ref="N1:W33" totalsRowShown="0">
  <autoFilter ref="N1:W33" xr:uid="{F1E92F3E-22F5-42E4-A2E4-3A44E427DB90}"/>
  <tableColumns count="10">
    <tableColumn id="1" xr3:uid="{CA5FA9F6-3107-4B13-9273-5FA384204CD0}" name="Nama"/>
    <tableColumn id="2" xr3:uid="{D0BD7E63-FA26-4319-B942-CCB065C9B9F1}" name="912"/>
    <tableColumn id="3" xr3:uid="{FBB7D032-37CB-43A5-BAD7-13098708DFC8}" name="621"/>
    <tableColumn id="4" xr3:uid="{347060A0-6528-4B53-936E-FBD182C6806E}" name="414"/>
    <tableColumn id="5" xr3:uid="{0340CA2C-2D58-4135-BD67-C7A1761881EC}" name="221"/>
    <tableColumn id="6" xr3:uid="{C5D1C21B-825B-4482-A231-2EF7D93188AE}" name="717"/>
    <tableColumn id="7" xr3:uid="{559DD901-78BB-417E-AFC8-AC2152FAD587}" name="521"/>
    <tableColumn id="8" xr3:uid="{EC159AA0-1406-4088-A931-0630C441ACA8}" name="819"/>
    <tableColumn id="9" xr3:uid="{D5197E57-6B51-4118-9BA1-DACA04A97C5F}" name="321"/>
    <tableColumn id="10" xr3:uid="{B0CDA5AC-451F-449B-B2A0-8C524B057E39}" name="112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8E81D5B-B0C3-4FE4-B0EA-CD58D5FE91DB}" name="Table61511" displayName="Table61511" ref="X1:Y33" totalsRowShown="0">
  <autoFilter ref="X1:Y33" xr:uid="{58E81D5B-B0C3-4FE4-B0EA-CD58D5FE91DB}"/>
  <tableColumns count="2">
    <tableColumn id="1" xr3:uid="{7E8ABC6B-52C6-4A0D-B9E5-3BCB74D1167E}" name="Total" dataDxfId="6">
      <calculatedColumnFormula>SUM([1]!Table14514[[#This Row],[912]:[112]])</calculatedColumnFormula>
    </tableColumn>
    <tableColumn id="2" xr3:uid="{3A47D0AF-8B07-4B64-8536-61AF81D6095B}" name="Rerata" dataDxfId="5">
      <calculatedColumnFormula>AVERAGE([1]!Table14514[[#This Row],[912]:[112]])</calculatedColumnFormula>
    </tableColumn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4AD3312F-16B1-4F97-AFA7-855CD15AF423}" name="Table1456" displayName="Table1456" ref="A1:J33" totalsRowShown="0">
  <autoFilter ref="A1:J33" xr:uid="{1D5FC3DC-35CC-496C-A35F-6C1C135B69C7}"/>
  <tableColumns count="10">
    <tableColumn id="1" xr3:uid="{2E9EE86F-B98F-4D5F-BB5C-FDB56E240363}" name="Nama"/>
    <tableColumn id="2" xr3:uid="{848A280D-B72B-4180-BD2C-8882E4C91F5B}" name="912"/>
    <tableColumn id="3" xr3:uid="{AFF65FBD-C4B3-4E0E-B0E2-E5604ABD0114}" name="621"/>
    <tableColumn id="4" xr3:uid="{6993F952-C26D-4847-B71B-CC456C3240B1}" name="414"/>
    <tableColumn id="5" xr3:uid="{E1E4BF18-41B7-4FCF-A08A-B7A63569D91F}" name="221"/>
    <tableColumn id="6" xr3:uid="{7E8C1C40-E649-4D11-9E4F-BB256282F50A}" name="717"/>
    <tableColumn id="7" xr3:uid="{D345DA61-33FF-4A5F-8383-D179392337D4}" name="521"/>
    <tableColumn id="8" xr3:uid="{F86206DC-4723-4C04-BFFB-2BFCD313825D}" name="819"/>
    <tableColumn id="9" xr3:uid="{F0A44B69-8AAA-4B73-83E0-E19EDA5B3CB0}" name="321"/>
    <tableColumn id="10" xr3:uid="{B4EB909A-24DC-4F92-92D6-2701DB41531A}" name="112"/>
  </tableColumns>
  <tableStyleInfo name="TableStyleMedium2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CD8157ED-EE2E-4ECD-AA30-0F2E7471948E}" name="Table268" displayName="Table268" ref="K1:L33" totalsRowShown="0">
  <autoFilter ref="K1:L33" xr:uid="{A1087971-9DA6-445A-8A11-8DF7D892B6A6}"/>
  <tableColumns count="2">
    <tableColumn id="1" xr3:uid="{B77D446B-22F5-4292-BFA4-AF3916CCD189}" name="Total" dataDxfId="3">
      <calculatedColumnFormula>SUM(Table1456[[#This Row],[912]:[112]])</calculatedColumnFormula>
    </tableColumn>
    <tableColumn id="2" xr3:uid="{92EA0F51-FEB4-426B-83F1-D90BBB098DB8}" name="Rerata" dataDxfId="2">
      <calculatedColumnFormula>AVERAGE(Table1456[[#This Row],[912]:[112]])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6A164C1-7B02-4263-A15B-938A8DA5C84C}" name="Table21" displayName="Table21" ref="F30:M37" totalsRowShown="0" headerRowDxfId="242" dataDxfId="241">
  <autoFilter ref="F30:M37" xr:uid="{76A164C1-7B02-4263-A15B-938A8DA5C84C}"/>
  <tableColumns count="8">
    <tableColumn id="1" xr3:uid="{49522E1E-FC2E-46E8-9EE7-0F772AE4E960}" name="Sumber Variasi" dataDxfId="240"/>
    <tableColumn id="2" xr3:uid="{979F7E8A-02D9-473C-80E3-1AE1DD22BBA0}" name="d.b" dataDxfId="239"/>
    <tableColumn id="3" xr3:uid="{B7BA752B-29D0-4C3E-A5E0-9C83D01BCBEA}" name="J.K" dataDxfId="238">
      <calculatedColumnFormula>G17</calculatedColumnFormula>
    </tableColumn>
    <tableColumn id="4" xr3:uid="{3D16212B-9EEA-47BE-8ECD-F1D04655A051}" name="K.T" dataDxfId="237">
      <calculatedColumnFormula>Table21[[#This Row],[J.K]]/Table21[[#This Row],[d.b]]</calculatedColumnFormula>
    </tableColumn>
    <tableColumn id="5" xr3:uid="{E7A384B8-3F72-40D0-B072-032570CFF688}" name="F hitung" dataDxfId="236">
      <calculatedColumnFormula>Table21[[#This Row],[K.T]]/I36</calculatedColumnFormula>
    </tableColumn>
    <tableColumn id="6" xr3:uid="{AB0808ED-D27A-4BA0-88D9-B7F542C592D4}" name="F tabel 5%" dataDxfId="235">
      <calculatedColumnFormula>FINV(0.05,G31,G36)</calculatedColumnFormula>
    </tableColumn>
    <tableColumn id="7" xr3:uid="{8AB989A8-3E23-4CB0-9EA7-4B81C6EA938D}" name="F tabel 1%" dataDxfId="234">
      <calculatedColumnFormula>FINV(0.01,G31,G36)</calculatedColumnFormula>
    </tableColumn>
    <tableColumn id="8" xr3:uid="{25B9D27C-D95E-4649-A6A5-94F0EBC578B5}" name="Notasi" dataDxfId="233">
      <calculatedColumnFormula>IF(J31&lt;K31,"tidak berbeda nyata","berbeda nyata")</calculatedColumnFormula>
    </tableColumn>
  </tableColumns>
  <tableStyleInfo name="TableStyleMedium2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F48F242-8C75-4521-B57E-0544FAF77957}" name="Table14561612" displayName="Table14561612" ref="N1:W33" totalsRowShown="0">
  <autoFilter ref="N1:W33" xr:uid="{8F48F242-8C75-4521-B57E-0544FAF77957}"/>
  <tableColumns count="10">
    <tableColumn id="1" xr3:uid="{00E83E18-678F-4C45-8B72-AC3A2393816F}" name="Nama"/>
    <tableColumn id="2" xr3:uid="{7A79E890-8659-4274-A688-7C3C46FB2225}" name="912"/>
    <tableColumn id="3" xr3:uid="{5C451379-B16A-4D85-B727-4870936EDFE1}" name="621"/>
    <tableColumn id="4" xr3:uid="{80614BAC-8EAD-4511-BF03-6746406850CC}" name="414"/>
    <tableColumn id="5" xr3:uid="{123C9EA4-B2A4-40A9-B613-7CB08A6A0E6E}" name="221"/>
    <tableColumn id="6" xr3:uid="{41D41169-A4BD-4DF1-82B4-F83B239D3B94}" name="717"/>
    <tableColumn id="7" xr3:uid="{DBF43A09-343E-4F49-956E-C7D73E746C2A}" name="521"/>
    <tableColumn id="8" xr3:uid="{6B8463AB-F9E1-4621-82BB-66541E92AB36}" name="819"/>
    <tableColumn id="9" xr3:uid="{C08C219D-C8CF-4D59-94AC-BC9FB8D4836B}" name="321"/>
    <tableColumn id="10" xr3:uid="{FCE75B95-4AA3-421A-9C4C-F74822AB5CD4}" name="112"/>
  </tableColumns>
  <tableStyleInfo name="TableStyleMedium2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14FE0DD8-3CBE-4909-8715-77479815CB1D}" name="Table21713" displayName="Table21713" ref="X1:Y33" totalsRowShown="0">
  <autoFilter ref="X1:Y33" xr:uid="{14FE0DD8-3CBE-4909-8715-77479815CB1D}"/>
  <tableColumns count="2">
    <tableColumn id="1" xr3:uid="{0870CFFB-C78D-48EC-88E1-DD9E17F4886F}" name="Total" dataDxfId="1">
      <calculatedColumnFormula>SUM([1]!Table145616[[#This Row],[912]:[112]])</calculatedColumnFormula>
    </tableColumn>
    <tableColumn id="2" xr3:uid="{06BC5688-BD29-4D73-A708-6CCD68636DBD}" name="Rerata" dataDxfId="0">
      <calculatedColumnFormula>AVERAGE([1]!Table145616[[#This Row],[912]:[112]])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DB8EAC89-FFE3-49FF-8040-DF9740A1E60C}" name="Table195395" displayName="Table195395" ref="F22:K27" totalsRowShown="0" headerRowDxfId="232" dataDxfId="231">
  <autoFilter ref="F22:K27" xr:uid="{DB8EAC89-FFE3-49FF-8040-DF9740A1E60C}"/>
  <tableColumns count="6">
    <tableColumn id="1" xr3:uid="{A1FD590E-D748-489B-A2A2-577B651403FC}" name="Perlakuan" dataDxfId="230"/>
    <tableColumn id="2" xr3:uid="{5B6D72AA-ABA3-47EF-9370-9CA38624B7E2}" name="S1" dataDxfId="229"/>
    <tableColumn id="3" xr3:uid="{5118534D-581C-4C54-914C-17D90B708987}" name="S2" dataDxfId="228"/>
    <tableColumn id="4" xr3:uid="{67B18EA2-AEBB-49E7-961B-C0634BFF1B8A}" name="S3" dataDxfId="227"/>
    <tableColumn id="5" xr3:uid="{6E164B9A-D2C8-45FC-8D5A-2743B92D78E0}" name="Total" dataDxfId="226">
      <calculatedColumnFormula>SUM(Table195395[[#This Row],[S1]:[S3]])</calculatedColumnFormula>
    </tableColumn>
    <tableColumn id="6" xr3:uid="{E2CBEF68-83C4-4315-9D84-BC72F2C7767E}" name="Rerata" dataDxfId="225">
      <calculatedColumnFormula>AVERAGE(Table195395[[#This Row],[S1]:[S3]])</calculatedColumnFormula>
    </tableColumn>
  </tableColumns>
  <tableStyleInfo name="TableStyleLight1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53F6270E-715B-4D37-9BC6-9BDAA093C0A8}" name="Table26" displayName="Table26" ref="A2:D11" totalsRowShown="0" headerRowDxfId="224" dataDxfId="223">
  <autoFilter ref="A2:D11" xr:uid="{53F6270E-715B-4D37-9BC6-9BDAA093C0A8}"/>
  <tableColumns count="4">
    <tableColumn id="1" xr3:uid="{A649F739-7471-4CF5-8C9C-AAF2EF42CEF9}" name="Perlakuan" dataDxfId="222"/>
    <tableColumn id="2" xr3:uid="{D00B8DB1-D921-4B46-B2EE-59245B5BE586}" name="U1" dataDxfId="221"/>
    <tableColumn id="3" xr3:uid="{2262EC58-2751-4F12-A3C6-97ABC6C7303F}" name="U2" dataDxfId="220"/>
    <tableColumn id="4" xr3:uid="{4A1F4CDD-C71C-4DA6-890D-EFE81CDBA9A6}" name="U3" dataDxfId="219"/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43267091-436B-4220-A451-9A0A0192CEF4}" name="Table27" displayName="Table27" ref="F2:L13" totalsRowShown="0" headerRowDxfId="218" dataDxfId="217">
  <autoFilter ref="F2:L13" xr:uid="{43267091-436B-4220-A451-9A0A0192CEF4}"/>
  <tableColumns count="7">
    <tableColumn id="1" xr3:uid="{C0ACE304-7065-4C36-85A7-BD0BAEA52A92}" name="Perlakuan" dataDxfId="216"/>
    <tableColumn id="2" xr3:uid="{10669C0E-3923-497E-A898-0B17F1083BFD}" name="U1" dataDxfId="215">
      <calculatedColumnFormula>Table26[[#This Row],[U1]]</calculatedColumnFormula>
    </tableColumn>
    <tableColumn id="3" xr3:uid="{F18467A1-97E4-4F48-811E-A6B2DEE9D84F}" name="U2" dataDxfId="214">
      <calculatedColumnFormula>Table26[[#This Row],[U2]]</calculatedColumnFormula>
    </tableColumn>
    <tableColumn id="4" xr3:uid="{8CC986E6-CE81-4E03-AA9B-80D0472C223C}" name="U3" dataDxfId="213">
      <calculatedColumnFormula>Table26[[#This Row],[U3]]</calculatedColumnFormula>
    </tableColumn>
    <tableColumn id="5" xr3:uid="{5CC08407-91FB-4404-925E-0277A349B494}" name="Total" dataDxfId="212">
      <calculatedColumnFormula>SUM(Table27[[#This Row],[U1]:[U3]])</calculatedColumnFormula>
    </tableColumn>
    <tableColumn id="6" xr3:uid="{C0901FD1-1400-4A18-BD68-A01C26569B20}" name="Rerata" dataDxfId="211">
      <calculatedColumnFormula>AVERAGE(Table27[[#This Row],[U1]:[U3]])</calculatedColumnFormula>
    </tableColumn>
    <tableColumn id="7" xr3:uid="{33D0D112-2B7B-497C-90C1-060044B46394}" name="Stdev" dataDxfId="210">
      <calculatedColumnFormula>_xlfn.STDEV.P(Table27[[#This Row],[U1]:[U3]])</calculatedColumnFormula>
    </tableColumn>
  </tableColumns>
  <tableStyleInfo name="TableStyleMedium13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2C6344BB-0565-4060-B0D0-AA9D5E0B84A5}" name="Table44" displayName="Table44" ref="F30:M37" totalsRowShown="0" headerRowDxfId="209" dataDxfId="208">
  <autoFilter ref="F30:M37" xr:uid="{2C6344BB-0565-4060-B0D0-AA9D5E0B84A5}"/>
  <tableColumns count="8">
    <tableColumn id="1" xr3:uid="{BB93BDEA-E307-43A1-BCA7-75F505A92A9B}" name="Sumber Variasi" dataDxfId="207"/>
    <tableColumn id="2" xr3:uid="{AEF028FE-7D60-4156-8717-1132F861D07A}" name="d.b" dataDxfId="206"/>
    <tableColumn id="3" xr3:uid="{AE5D7AB6-F5B2-4F23-A816-66964127928F}" name="J.K" dataDxfId="205">
      <calculatedColumnFormula>G17</calculatedColumnFormula>
    </tableColumn>
    <tableColumn id="4" xr3:uid="{190FBD55-83BC-49AE-A994-A8F5DA522580}" name="K.T" dataDxfId="204">
      <calculatedColumnFormula>Table44[[#This Row],[J.K]]/Table44[[#This Row],[d.b]]</calculatedColumnFormula>
    </tableColumn>
    <tableColumn id="5" xr3:uid="{6FB5D834-6EE9-435F-BDC9-8BF0E66B579A}" name="F hitung" dataDxfId="203">
      <calculatedColumnFormula>Table44[[#This Row],[K.T]]/I36</calculatedColumnFormula>
    </tableColumn>
    <tableColumn id="6" xr3:uid="{68A72865-4CC6-47D6-9564-11E1275345A8}" name="F tabel 5%" dataDxfId="202">
      <calculatedColumnFormula>FINV(0.05,G31,G36)</calculatedColumnFormula>
    </tableColumn>
    <tableColumn id="7" xr3:uid="{81C35101-D538-4FF3-846E-D8AEC1BC4CB7}" name="F tabel 1%" dataDxfId="201">
      <calculatedColumnFormula>FINV(0.01,G31,G36)</calculatedColumnFormula>
    </tableColumn>
    <tableColumn id="8" xr3:uid="{287B7096-A37E-4768-A49B-2FC8F4E3464C}" name="Notasi" dataDxfId="200">
      <calculatedColumnFormula>IF(J31&lt;K31,"tidak berbeda nyata","berbeda nyata")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table" Target="../tables/table36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2.xml"/><Relationship Id="rId2" Type="http://schemas.openxmlformats.org/officeDocument/2006/relationships/table" Target="../tables/table41.xml"/><Relationship Id="rId1" Type="http://schemas.openxmlformats.org/officeDocument/2006/relationships/table" Target="../tables/table40.xml"/><Relationship Id="rId4" Type="http://schemas.openxmlformats.org/officeDocument/2006/relationships/table" Target="../tables/table4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6.xml"/><Relationship Id="rId2" Type="http://schemas.openxmlformats.org/officeDocument/2006/relationships/table" Target="../tables/table45.xml"/><Relationship Id="rId1" Type="http://schemas.openxmlformats.org/officeDocument/2006/relationships/table" Target="../tables/table44.xml"/><Relationship Id="rId4" Type="http://schemas.openxmlformats.org/officeDocument/2006/relationships/table" Target="../tables/table4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0.xml"/><Relationship Id="rId2" Type="http://schemas.openxmlformats.org/officeDocument/2006/relationships/table" Target="../tables/table49.xml"/><Relationship Id="rId1" Type="http://schemas.openxmlformats.org/officeDocument/2006/relationships/table" Target="../tables/table48.xml"/><Relationship Id="rId4" Type="http://schemas.openxmlformats.org/officeDocument/2006/relationships/table" Target="../tables/table5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table" Target="../tables/table3.xml"/><Relationship Id="rId4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table" Target="../tables/table7.xml"/><Relationship Id="rId4" Type="http://schemas.openxmlformats.org/officeDocument/2006/relationships/table" Target="../tables/table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14.xml"/><Relationship Id="rId4" Type="http://schemas.openxmlformats.org/officeDocument/2006/relationships/table" Target="../tables/table1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table" Target="../tables/table15.xml"/><Relationship Id="rId4" Type="http://schemas.openxmlformats.org/officeDocument/2006/relationships/table" Target="../tables/table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table" Target="../tables/table20.xml"/><Relationship Id="rId1" Type="http://schemas.openxmlformats.org/officeDocument/2006/relationships/table" Target="../tables/table19.xml"/><Relationship Id="rId4" Type="http://schemas.openxmlformats.org/officeDocument/2006/relationships/table" Target="../tables/table2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table" Target="../tables/table23.xml"/><Relationship Id="rId4" Type="http://schemas.openxmlformats.org/officeDocument/2006/relationships/table" Target="../tables/table2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9.xml"/><Relationship Id="rId2" Type="http://schemas.openxmlformats.org/officeDocument/2006/relationships/table" Target="../tables/table28.xml"/><Relationship Id="rId1" Type="http://schemas.openxmlformats.org/officeDocument/2006/relationships/table" Target="../tables/table27.xml"/><Relationship Id="rId4" Type="http://schemas.openxmlformats.org/officeDocument/2006/relationships/table" Target="../tables/table30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2.xml"/><Relationship Id="rId2" Type="http://schemas.openxmlformats.org/officeDocument/2006/relationships/table" Target="../tables/table31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35.xml"/><Relationship Id="rId5" Type="http://schemas.openxmlformats.org/officeDocument/2006/relationships/table" Target="../tables/table34.xml"/><Relationship Id="rId4" Type="http://schemas.openxmlformats.org/officeDocument/2006/relationships/table" Target="../tables/table3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6ADAC-02DC-4BDE-B53E-965105DA80EE}">
  <dimension ref="B1:AH98"/>
  <sheetViews>
    <sheetView topLeftCell="A49" zoomScale="70" zoomScaleNormal="70" workbookViewId="0">
      <selection activeCell="D37" sqref="D37"/>
    </sheetView>
  </sheetViews>
  <sheetFormatPr defaultRowHeight="14.5" x14ac:dyDescent="0.35"/>
  <cols>
    <col min="2" max="2" width="10.26953125" customWidth="1"/>
    <col min="3" max="7" width="16.81640625" bestFit="1" customWidth="1"/>
    <col min="8" max="8" width="15.26953125" bestFit="1" customWidth="1"/>
    <col min="9" max="10" width="16.81640625" bestFit="1" customWidth="1"/>
    <col min="11" max="11" width="15.26953125" bestFit="1" customWidth="1"/>
    <col min="12" max="13" width="14.1796875" customWidth="1"/>
    <col min="15" max="15" width="14.26953125" bestFit="1" customWidth="1"/>
    <col min="34" max="34" width="11.1796875" customWidth="1"/>
  </cols>
  <sheetData>
    <row r="1" spans="2:34" x14ac:dyDescent="0.35">
      <c r="R1" s="1" t="s">
        <v>204</v>
      </c>
    </row>
    <row r="2" spans="2:34" x14ac:dyDescent="0.35">
      <c r="H2" s="1" t="s">
        <v>203</v>
      </c>
    </row>
    <row r="3" spans="2:34" x14ac:dyDescent="0.35">
      <c r="B3" t="s">
        <v>168</v>
      </c>
      <c r="C3" t="s">
        <v>202</v>
      </c>
      <c r="D3" t="s">
        <v>201</v>
      </c>
      <c r="E3" t="s">
        <v>200</v>
      </c>
      <c r="F3" t="s">
        <v>199</v>
      </c>
      <c r="G3" t="s">
        <v>198</v>
      </c>
      <c r="H3" t="s">
        <v>197</v>
      </c>
      <c r="I3" t="s">
        <v>196</v>
      </c>
      <c r="J3" t="s">
        <v>195</v>
      </c>
      <c r="K3" t="s">
        <v>194</v>
      </c>
      <c r="L3" t="s">
        <v>193</v>
      </c>
      <c r="M3" t="s">
        <v>192</v>
      </c>
      <c r="N3" t="s">
        <v>191</v>
      </c>
      <c r="O3" t="s">
        <v>190</v>
      </c>
      <c r="P3" t="s">
        <v>189</v>
      </c>
      <c r="Q3" t="s">
        <v>188</v>
      </c>
      <c r="R3" t="s">
        <v>187</v>
      </c>
      <c r="S3" t="s">
        <v>186</v>
      </c>
      <c r="T3" t="s">
        <v>185</v>
      </c>
      <c r="U3" t="s">
        <v>184</v>
      </c>
      <c r="V3" t="s">
        <v>183</v>
      </c>
      <c r="W3" t="s">
        <v>182</v>
      </c>
      <c r="X3" t="s">
        <v>181</v>
      </c>
      <c r="Y3" t="s">
        <v>180</v>
      </c>
      <c r="Z3" t="s">
        <v>179</v>
      </c>
      <c r="AA3" t="s">
        <v>178</v>
      </c>
      <c r="AB3" t="s">
        <v>177</v>
      </c>
      <c r="AC3" t="s">
        <v>176</v>
      </c>
      <c r="AD3" t="s">
        <v>175</v>
      </c>
      <c r="AE3" t="s">
        <v>174</v>
      </c>
      <c r="AF3" t="s">
        <v>173</v>
      </c>
      <c r="AG3" t="s">
        <v>172</v>
      </c>
      <c r="AH3" t="s">
        <v>68</v>
      </c>
    </row>
    <row r="4" spans="2:34" x14ac:dyDescent="0.35">
      <c r="B4" t="s">
        <v>165</v>
      </c>
      <c r="C4">
        <v>1</v>
      </c>
      <c r="D4">
        <v>0.9</v>
      </c>
      <c r="E4">
        <v>0.7</v>
      </c>
      <c r="F4">
        <v>0.9</v>
      </c>
      <c r="G4">
        <v>1</v>
      </c>
      <c r="H4">
        <v>1</v>
      </c>
      <c r="I4">
        <v>1</v>
      </c>
      <c r="J4">
        <v>0.6</v>
      </c>
      <c r="K4">
        <v>1</v>
      </c>
      <c r="L4">
        <v>0.8</v>
      </c>
      <c r="M4">
        <v>1</v>
      </c>
      <c r="N4">
        <v>0.9</v>
      </c>
      <c r="O4">
        <v>0.8</v>
      </c>
      <c r="P4">
        <v>1</v>
      </c>
      <c r="Q4">
        <v>0.8</v>
      </c>
      <c r="R4">
        <v>0.9</v>
      </c>
      <c r="S4">
        <v>1</v>
      </c>
      <c r="T4">
        <v>1</v>
      </c>
      <c r="U4">
        <v>0.9</v>
      </c>
      <c r="V4">
        <v>0.9</v>
      </c>
      <c r="W4">
        <v>1</v>
      </c>
      <c r="X4">
        <v>0.9</v>
      </c>
      <c r="Y4">
        <v>0.8</v>
      </c>
      <c r="Z4">
        <v>0.9</v>
      </c>
      <c r="AA4">
        <v>1</v>
      </c>
      <c r="AB4">
        <v>0.8</v>
      </c>
      <c r="AC4">
        <v>0.9</v>
      </c>
      <c r="AD4">
        <v>1</v>
      </c>
      <c r="AE4">
        <v>0.8</v>
      </c>
      <c r="AF4">
        <v>1</v>
      </c>
      <c r="AG4">
        <f>SUM(Table1775[[#This Row],[1]:[30]])</f>
        <v>27.2</v>
      </c>
      <c r="AH4" s="2">
        <f>AVERAGE(Table1775[[#This Row],[1]:[30]])</f>
        <v>0.90666666666666662</v>
      </c>
    </row>
    <row r="5" spans="2:34" x14ac:dyDescent="0.35">
      <c r="B5" t="s">
        <v>164</v>
      </c>
      <c r="C5">
        <v>1</v>
      </c>
      <c r="D5">
        <v>1</v>
      </c>
      <c r="E5">
        <v>0.7</v>
      </c>
      <c r="F5">
        <v>0.8</v>
      </c>
      <c r="G5">
        <v>0.9</v>
      </c>
      <c r="H5">
        <v>1</v>
      </c>
      <c r="I5">
        <v>1</v>
      </c>
      <c r="J5">
        <v>0.7</v>
      </c>
      <c r="K5">
        <v>0.9</v>
      </c>
      <c r="L5">
        <v>0.8</v>
      </c>
      <c r="M5">
        <v>1</v>
      </c>
      <c r="N5">
        <v>0.9</v>
      </c>
      <c r="O5">
        <v>0.8</v>
      </c>
      <c r="P5">
        <v>0.9</v>
      </c>
      <c r="Q5">
        <v>0.8</v>
      </c>
      <c r="R5">
        <v>0.7</v>
      </c>
      <c r="S5">
        <v>1</v>
      </c>
      <c r="T5">
        <v>0.9</v>
      </c>
      <c r="U5">
        <v>0.8</v>
      </c>
      <c r="V5">
        <v>0.8</v>
      </c>
      <c r="W5">
        <v>0.9</v>
      </c>
      <c r="X5">
        <v>1</v>
      </c>
      <c r="Y5">
        <v>0.9</v>
      </c>
      <c r="Z5">
        <v>1</v>
      </c>
      <c r="AA5">
        <v>0.7</v>
      </c>
      <c r="AB5">
        <v>1</v>
      </c>
      <c r="AC5">
        <v>1</v>
      </c>
      <c r="AD5">
        <v>0.7</v>
      </c>
      <c r="AE5">
        <v>0.9</v>
      </c>
      <c r="AF5">
        <v>0.7</v>
      </c>
      <c r="AG5">
        <f>SUM(Table1775[[#This Row],[1]:[30]])</f>
        <v>26.199999999999996</v>
      </c>
      <c r="AH5" s="2">
        <f>AVERAGE(Table1775[[#This Row],[1]:[30]])</f>
        <v>0.87333333333333318</v>
      </c>
    </row>
    <row r="6" spans="2:34" x14ac:dyDescent="0.35">
      <c r="B6" t="s">
        <v>163</v>
      </c>
      <c r="C6">
        <v>0.6</v>
      </c>
      <c r="D6">
        <v>0.9</v>
      </c>
      <c r="E6">
        <v>0.8</v>
      </c>
      <c r="F6">
        <v>0.9</v>
      </c>
      <c r="G6">
        <v>0.7</v>
      </c>
      <c r="H6">
        <v>0.8</v>
      </c>
      <c r="I6">
        <v>0.4</v>
      </c>
      <c r="J6">
        <v>0.5</v>
      </c>
      <c r="K6">
        <v>0.9</v>
      </c>
      <c r="L6">
        <v>0.6</v>
      </c>
      <c r="M6">
        <v>1</v>
      </c>
      <c r="N6">
        <v>0.8</v>
      </c>
      <c r="O6">
        <v>0.9</v>
      </c>
      <c r="P6">
        <v>1</v>
      </c>
      <c r="Q6">
        <v>0.8</v>
      </c>
      <c r="R6">
        <v>0.7</v>
      </c>
      <c r="S6">
        <v>0.5</v>
      </c>
      <c r="T6">
        <v>0.9</v>
      </c>
      <c r="U6">
        <v>0.8</v>
      </c>
      <c r="V6">
        <v>0.7</v>
      </c>
      <c r="W6">
        <v>1</v>
      </c>
      <c r="X6">
        <v>0.9</v>
      </c>
      <c r="Y6">
        <v>1</v>
      </c>
      <c r="Z6">
        <v>0.9</v>
      </c>
      <c r="AA6">
        <v>0.8</v>
      </c>
      <c r="AB6">
        <v>0.8</v>
      </c>
      <c r="AC6">
        <v>1</v>
      </c>
      <c r="AD6">
        <v>0.9</v>
      </c>
      <c r="AE6">
        <v>0.9</v>
      </c>
      <c r="AF6">
        <v>0.7</v>
      </c>
      <c r="AG6">
        <f>SUM(Table1775[[#This Row],[1]:[30]])</f>
        <v>24.099999999999998</v>
      </c>
      <c r="AH6" s="2">
        <f>AVERAGE(Table1775[[#This Row],[1]:[30]])</f>
        <v>0.80333333333333323</v>
      </c>
    </row>
    <row r="7" spans="2:34" x14ac:dyDescent="0.35">
      <c r="B7" t="s">
        <v>36</v>
      </c>
      <c r="C7">
        <v>0.6</v>
      </c>
      <c r="D7">
        <v>0.9</v>
      </c>
      <c r="E7">
        <v>0.8</v>
      </c>
      <c r="F7">
        <v>0.7</v>
      </c>
      <c r="G7">
        <v>0.7</v>
      </c>
      <c r="H7">
        <v>0.9</v>
      </c>
      <c r="I7">
        <v>0.6</v>
      </c>
      <c r="J7">
        <v>0.4</v>
      </c>
      <c r="K7">
        <v>0.9</v>
      </c>
      <c r="L7">
        <v>0.9</v>
      </c>
      <c r="M7">
        <v>0.9</v>
      </c>
      <c r="N7">
        <v>0.6</v>
      </c>
      <c r="O7">
        <v>0.9</v>
      </c>
      <c r="P7">
        <v>0.9</v>
      </c>
      <c r="Q7">
        <v>0.8</v>
      </c>
      <c r="R7">
        <v>1</v>
      </c>
      <c r="S7">
        <v>0.7</v>
      </c>
      <c r="T7">
        <v>1</v>
      </c>
      <c r="U7">
        <v>0.8</v>
      </c>
      <c r="V7">
        <v>0.8</v>
      </c>
      <c r="W7">
        <v>0.9</v>
      </c>
      <c r="X7">
        <v>1</v>
      </c>
      <c r="Y7">
        <v>0.9</v>
      </c>
      <c r="Z7">
        <v>1</v>
      </c>
      <c r="AA7">
        <v>1</v>
      </c>
      <c r="AB7">
        <v>0.8</v>
      </c>
      <c r="AC7">
        <v>0.9</v>
      </c>
      <c r="AD7">
        <v>0.9</v>
      </c>
      <c r="AE7">
        <v>0.9</v>
      </c>
      <c r="AF7">
        <v>0.8</v>
      </c>
      <c r="AG7">
        <f>SUM(Table1775[[#This Row],[1]:[30]])</f>
        <v>24.9</v>
      </c>
      <c r="AH7">
        <f>AVERAGE(Table1775[[#This Row],[1]:[30]])</f>
        <v>0.83</v>
      </c>
    </row>
    <row r="8" spans="2:34" x14ac:dyDescent="0.35">
      <c r="B8" t="s">
        <v>162</v>
      </c>
      <c r="C8">
        <v>1</v>
      </c>
      <c r="D8">
        <v>0.9</v>
      </c>
      <c r="E8">
        <v>0.9</v>
      </c>
      <c r="F8">
        <v>0.9</v>
      </c>
      <c r="G8">
        <v>0.5</v>
      </c>
      <c r="H8">
        <v>0.9</v>
      </c>
      <c r="I8">
        <v>0.9</v>
      </c>
      <c r="J8">
        <v>0.5</v>
      </c>
      <c r="K8">
        <v>0.8</v>
      </c>
      <c r="L8">
        <v>0.5</v>
      </c>
      <c r="M8">
        <v>1</v>
      </c>
      <c r="N8">
        <v>0.7</v>
      </c>
      <c r="O8">
        <v>0.9</v>
      </c>
      <c r="P8">
        <v>1</v>
      </c>
      <c r="Q8">
        <v>0.8</v>
      </c>
      <c r="R8">
        <v>0.8</v>
      </c>
      <c r="S8">
        <v>0.9</v>
      </c>
      <c r="T8">
        <v>1</v>
      </c>
      <c r="U8">
        <v>0.9</v>
      </c>
      <c r="V8">
        <v>0.8</v>
      </c>
      <c r="W8">
        <v>1</v>
      </c>
      <c r="X8">
        <v>0.9</v>
      </c>
      <c r="Y8">
        <v>1</v>
      </c>
      <c r="Z8">
        <v>0.9</v>
      </c>
      <c r="AA8">
        <v>0.9</v>
      </c>
      <c r="AB8">
        <v>0.9</v>
      </c>
      <c r="AC8">
        <v>0.8</v>
      </c>
      <c r="AD8">
        <v>0.9</v>
      </c>
      <c r="AE8">
        <v>0.7</v>
      </c>
      <c r="AF8">
        <v>0.6</v>
      </c>
      <c r="AG8">
        <f>SUM(Table1775[[#This Row],[1]:[30]])</f>
        <v>25.199999999999996</v>
      </c>
      <c r="AH8">
        <f>AVERAGE(Table1775[[#This Row],[1]:[30]])</f>
        <v>0.83999999999999986</v>
      </c>
    </row>
    <row r="9" spans="2:34" x14ac:dyDescent="0.35">
      <c r="B9" t="s">
        <v>161</v>
      </c>
      <c r="C9">
        <v>1</v>
      </c>
      <c r="D9">
        <v>0.9</v>
      </c>
      <c r="E9">
        <v>0.9</v>
      </c>
      <c r="F9">
        <v>0.7</v>
      </c>
      <c r="G9">
        <v>0.5</v>
      </c>
      <c r="H9">
        <v>0.9</v>
      </c>
      <c r="I9">
        <v>1</v>
      </c>
      <c r="J9">
        <v>0.5</v>
      </c>
      <c r="K9">
        <v>0.8</v>
      </c>
      <c r="L9">
        <v>0.6</v>
      </c>
      <c r="M9">
        <v>0.9</v>
      </c>
      <c r="N9">
        <v>0.7</v>
      </c>
      <c r="O9">
        <v>0.9</v>
      </c>
      <c r="P9">
        <v>1</v>
      </c>
      <c r="Q9">
        <v>0.8</v>
      </c>
      <c r="R9">
        <v>0.8</v>
      </c>
      <c r="S9">
        <v>0.8</v>
      </c>
      <c r="T9">
        <v>1</v>
      </c>
      <c r="U9">
        <v>0.9</v>
      </c>
      <c r="V9">
        <v>0.8</v>
      </c>
      <c r="W9">
        <v>0.9</v>
      </c>
      <c r="X9">
        <v>1</v>
      </c>
      <c r="Y9">
        <v>0.8</v>
      </c>
      <c r="Z9">
        <v>1</v>
      </c>
      <c r="AA9">
        <v>0.8</v>
      </c>
      <c r="AB9">
        <v>0.9</v>
      </c>
      <c r="AC9">
        <v>1</v>
      </c>
      <c r="AD9">
        <v>1</v>
      </c>
      <c r="AE9">
        <v>1</v>
      </c>
      <c r="AF9">
        <v>0.9</v>
      </c>
      <c r="AG9">
        <f>SUM(Table1775[[#This Row],[1]:[30]])</f>
        <v>25.7</v>
      </c>
      <c r="AH9" s="2">
        <f>AVERAGE(Table1775[[#This Row],[1]:[30]])</f>
        <v>0.85666666666666669</v>
      </c>
    </row>
    <row r="10" spans="2:34" x14ac:dyDescent="0.35">
      <c r="B10" t="s">
        <v>171</v>
      </c>
      <c r="C10">
        <v>1</v>
      </c>
      <c r="D10">
        <v>1</v>
      </c>
      <c r="E10">
        <v>0.8</v>
      </c>
      <c r="F10">
        <v>0.7</v>
      </c>
      <c r="G10">
        <v>0.5</v>
      </c>
      <c r="H10">
        <v>0.9</v>
      </c>
      <c r="I10">
        <v>0.1</v>
      </c>
      <c r="J10">
        <v>0.5</v>
      </c>
      <c r="K10">
        <v>0.8</v>
      </c>
      <c r="L10">
        <v>0.6</v>
      </c>
      <c r="M10">
        <v>1</v>
      </c>
      <c r="N10">
        <v>0.7</v>
      </c>
      <c r="O10">
        <v>0.9</v>
      </c>
      <c r="P10">
        <v>1</v>
      </c>
      <c r="Q10">
        <v>0.8</v>
      </c>
      <c r="R10">
        <v>0.8</v>
      </c>
      <c r="S10">
        <v>0.9</v>
      </c>
      <c r="T10">
        <v>0.9</v>
      </c>
      <c r="U10">
        <v>0.8</v>
      </c>
      <c r="V10">
        <v>0.9</v>
      </c>
      <c r="W10">
        <v>1</v>
      </c>
      <c r="X10">
        <v>0.9</v>
      </c>
      <c r="Y10">
        <v>1</v>
      </c>
      <c r="Z10">
        <v>0.9</v>
      </c>
      <c r="AA10">
        <v>1</v>
      </c>
      <c r="AB10">
        <v>0.9</v>
      </c>
      <c r="AC10">
        <v>0.7</v>
      </c>
      <c r="AD10">
        <v>1</v>
      </c>
      <c r="AE10">
        <v>1</v>
      </c>
      <c r="AF10">
        <v>0.9</v>
      </c>
      <c r="AG10">
        <f>SUM(Table1775[[#This Row],[1]:[30]])</f>
        <v>24.899999999999995</v>
      </c>
      <c r="AH10">
        <f>AVERAGE(Table1775[[#This Row],[1]:[30]])</f>
        <v>0.82999999999999985</v>
      </c>
    </row>
    <row r="11" spans="2:34" x14ac:dyDescent="0.35">
      <c r="B11" t="s">
        <v>159</v>
      </c>
      <c r="C11">
        <v>0.6</v>
      </c>
      <c r="D11">
        <v>0.8</v>
      </c>
      <c r="E11">
        <v>0.9</v>
      </c>
      <c r="F11">
        <v>1</v>
      </c>
      <c r="G11">
        <v>0.6</v>
      </c>
      <c r="H11">
        <v>1</v>
      </c>
      <c r="I11">
        <v>0.7</v>
      </c>
      <c r="J11">
        <v>0.6</v>
      </c>
      <c r="K11">
        <v>1</v>
      </c>
      <c r="L11">
        <v>1</v>
      </c>
      <c r="M11">
        <v>1</v>
      </c>
      <c r="N11">
        <v>0.9</v>
      </c>
      <c r="O11">
        <v>0.9</v>
      </c>
      <c r="P11">
        <v>0.9</v>
      </c>
      <c r="Q11">
        <v>0.7</v>
      </c>
      <c r="R11">
        <v>0.9</v>
      </c>
      <c r="S11">
        <v>0.6</v>
      </c>
      <c r="T11">
        <v>1</v>
      </c>
      <c r="U11">
        <v>0.8</v>
      </c>
      <c r="V11">
        <v>0.8</v>
      </c>
      <c r="W11">
        <v>0.9</v>
      </c>
      <c r="X11">
        <v>1</v>
      </c>
      <c r="Y11">
        <v>0.9</v>
      </c>
      <c r="Z11">
        <v>1</v>
      </c>
      <c r="AA11">
        <v>0.9</v>
      </c>
      <c r="AB11">
        <v>1</v>
      </c>
      <c r="AC11">
        <v>0.9</v>
      </c>
      <c r="AD11">
        <v>0.8</v>
      </c>
      <c r="AE11">
        <v>1</v>
      </c>
      <c r="AF11">
        <v>1</v>
      </c>
      <c r="AG11">
        <f>SUM(Table1775[[#This Row],[1]:[30]])</f>
        <v>26.099999999999994</v>
      </c>
      <c r="AH11">
        <f>AVERAGE(Table1775[[#This Row],[1]:[30]])</f>
        <v>0.86999999999999977</v>
      </c>
    </row>
    <row r="12" spans="2:34" x14ac:dyDescent="0.35">
      <c r="B12" t="s">
        <v>158</v>
      </c>
      <c r="C12">
        <v>1</v>
      </c>
      <c r="D12">
        <v>0.9</v>
      </c>
      <c r="E12">
        <v>1</v>
      </c>
      <c r="F12">
        <v>0.8</v>
      </c>
      <c r="G12">
        <v>0.5</v>
      </c>
      <c r="H12">
        <v>1</v>
      </c>
      <c r="I12">
        <v>1</v>
      </c>
      <c r="J12">
        <v>0.2</v>
      </c>
      <c r="K12">
        <v>0.8</v>
      </c>
      <c r="L12">
        <v>0.6</v>
      </c>
      <c r="M12">
        <v>1</v>
      </c>
      <c r="N12">
        <v>0.7</v>
      </c>
      <c r="O12">
        <v>0.8</v>
      </c>
      <c r="P12">
        <v>1</v>
      </c>
      <c r="Q12">
        <v>0.9</v>
      </c>
      <c r="R12">
        <v>0.7</v>
      </c>
      <c r="S12">
        <v>0.8</v>
      </c>
      <c r="T12">
        <v>1</v>
      </c>
      <c r="U12">
        <v>0.9</v>
      </c>
      <c r="V12">
        <v>0.9</v>
      </c>
      <c r="W12">
        <v>1</v>
      </c>
      <c r="X12">
        <v>0.9</v>
      </c>
      <c r="Y12">
        <v>0.9</v>
      </c>
      <c r="Z12">
        <v>0.9</v>
      </c>
      <c r="AA12">
        <v>0.7</v>
      </c>
      <c r="AB12">
        <v>1</v>
      </c>
      <c r="AC12">
        <v>0.8</v>
      </c>
      <c r="AD12">
        <v>0.7</v>
      </c>
      <c r="AE12">
        <v>0.9</v>
      </c>
      <c r="AF12">
        <v>0.9</v>
      </c>
      <c r="AG12">
        <f>SUM(Table1775[[#This Row],[1]:[30]])</f>
        <v>25.199999999999992</v>
      </c>
      <c r="AH12">
        <f>AVERAGE(Table1775[[#This Row],[1]:[30]])</f>
        <v>0.83999999999999975</v>
      </c>
    </row>
    <row r="13" spans="2:34" x14ac:dyDescent="0.35">
      <c r="B13" t="s">
        <v>157</v>
      </c>
      <c r="C13">
        <v>1</v>
      </c>
      <c r="D13">
        <v>0.9</v>
      </c>
      <c r="E13">
        <v>0.7</v>
      </c>
      <c r="F13">
        <v>0.8</v>
      </c>
      <c r="G13">
        <v>0.8</v>
      </c>
      <c r="H13">
        <v>1</v>
      </c>
      <c r="I13">
        <v>1</v>
      </c>
      <c r="J13">
        <v>0.3</v>
      </c>
      <c r="K13">
        <v>0.9</v>
      </c>
      <c r="L13">
        <v>0.6</v>
      </c>
      <c r="M13">
        <v>1</v>
      </c>
      <c r="N13">
        <v>0.9</v>
      </c>
      <c r="O13">
        <v>0.8</v>
      </c>
      <c r="P13">
        <v>1</v>
      </c>
      <c r="Q13">
        <v>0.7</v>
      </c>
      <c r="R13">
        <v>0.9</v>
      </c>
      <c r="S13">
        <v>0.9</v>
      </c>
      <c r="T13">
        <v>1</v>
      </c>
      <c r="U13">
        <v>0.8</v>
      </c>
      <c r="V13">
        <v>0.9</v>
      </c>
      <c r="W13">
        <v>0.9</v>
      </c>
      <c r="X13">
        <v>1</v>
      </c>
      <c r="Y13">
        <v>1</v>
      </c>
      <c r="Z13">
        <v>1</v>
      </c>
      <c r="AA13">
        <v>0.9</v>
      </c>
      <c r="AB13">
        <v>0.7</v>
      </c>
      <c r="AC13">
        <v>0.8</v>
      </c>
      <c r="AD13">
        <v>0.8</v>
      </c>
      <c r="AE13">
        <v>0.8</v>
      </c>
      <c r="AF13">
        <v>0.9</v>
      </c>
      <c r="AG13">
        <f>SUM(Table1775[[#This Row],[1]:[30]])</f>
        <v>25.699999999999996</v>
      </c>
      <c r="AH13" s="2">
        <f>AVERAGE(Table1775[[#This Row],[1]:[30]])</f>
        <v>0.85666666666666658</v>
      </c>
    </row>
    <row r="14" spans="2:34" x14ac:dyDescent="0.35">
      <c r="B14" t="s">
        <v>156</v>
      </c>
      <c r="C14">
        <v>1</v>
      </c>
      <c r="D14">
        <v>1</v>
      </c>
      <c r="E14">
        <v>0.8</v>
      </c>
      <c r="F14">
        <v>0.7</v>
      </c>
      <c r="G14">
        <v>0.6</v>
      </c>
      <c r="H14">
        <v>1</v>
      </c>
      <c r="I14">
        <v>0.1</v>
      </c>
      <c r="J14">
        <v>0.2</v>
      </c>
      <c r="K14">
        <v>0.9</v>
      </c>
      <c r="L14">
        <v>0.2</v>
      </c>
      <c r="M14">
        <v>1</v>
      </c>
      <c r="N14">
        <v>0.8</v>
      </c>
      <c r="O14">
        <v>0.9</v>
      </c>
      <c r="P14">
        <v>1</v>
      </c>
      <c r="Q14">
        <v>0.7</v>
      </c>
      <c r="R14">
        <v>1</v>
      </c>
      <c r="S14">
        <v>0.9</v>
      </c>
      <c r="T14">
        <v>1</v>
      </c>
      <c r="U14">
        <v>0.9</v>
      </c>
      <c r="V14">
        <v>0.9</v>
      </c>
      <c r="W14">
        <v>1</v>
      </c>
      <c r="X14">
        <v>0.9</v>
      </c>
      <c r="Y14">
        <v>0.9</v>
      </c>
      <c r="Z14">
        <v>0.9</v>
      </c>
      <c r="AA14">
        <v>1</v>
      </c>
      <c r="AB14">
        <v>0.9</v>
      </c>
      <c r="AC14">
        <v>0.9</v>
      </c>
      <c r="AD14">
        <v>0.8</v>
      </c>
      <c r="AE14">
        <v>0.9</v>
      </c>
      <c r="AF14">
        <v>1</v>
      </c>
      <c r="AG14">
        <f>SUM(Table1775[[#This Row],[1]:[30]])</f>
        <v>24.799999999999994</v>
      </c>
      <c r="AH14" s="2">
        <f>AVERAGE(Table1775[[#This Row],[1]:[30]])</f>
        <v>0.82666666666666644</v>
      </c>
    </row>
    <row r="15" spans="2:34" x14ac:dyDescent="0.35">
      <c r="B15" t="s">
        <v>155</v>
      </c>
      <c r="C15">
        <v>1</v>
      </c>
      <c r="D15">
        <v>0.9</v>
      </c>
      <c r="E15">
        <v>0.5</v>
      </c>
      <c r="F15">
        <v>0.8</v>
      </c>
      <c r="G15">
        <v>0.7</v>
      </c>
      <c r="H15">
        <v>1</v>
      </c>
      <c r="I15">
        <v>1</v>
      </c>
      <c r="J15">
        <v>0.9</v>
      </c>
      <c r="K15">
        <v>1</v>
      </c>
      <c r="L15">
        <v>1</v>
      </c>
      <c r="M15">
        <v>1</v>
      </c>
      <c r="N15">
        <v>0.9</v>
      </c>
      <c r="O15">
        <v>0.9</v>
      </c>
      <c r="P15">
        <v>1</v>
      </c>
      <c r="Q15">
        <v>0.9</v>
      </c>
      <c r="R15">
        <v>1</v>
      </c>
      <c r="S15">
        <v>1</v>
      </c>
      <c r="T15">
        <v>1</v>
      </c>
      <c r="U15">
        <v>0.9</v>
      </c>
      <c r="V15">
        <v>0.9</v>
      </c>
      <c r="W15">
        <v>0.9</v>
      </c>
      <c r="X15">
        <v>1</v>
      </c>
      <c r="Y15">
        <v>0.9</v>
      </c>
      <c r="Z15">
        <v>1</v>
      </c>
      <c r="AA15">
        <v>1</v>
      </c>
      <c r="AB15">
        <v>1</v>
      </c>
      <c r="AC15">
        <v>0.9</v>
      </c>
      <c r="AD15">
        <v>1</v>
      </c>
      <c r="AE15">
        <v>1</v>
      </c>
      <c r="AF15">
        <v>1</v>
      </c>
      <c r="AG15">
        <f>SUM(Table1775[[#This Row],[1]:[30]])</f>
        <v>27.999999999999993</v>
      </c>
      <c r="AH15" s="2">
        <f>AVERAGE(Table1775[[#This Row],[1]:[30]])</f>
        <v>0.93333333333333313</v>
      </c>
    </row>
    <row r="18" spans="2:18" x14ac:dyDescent="0.35">
      <c r="G18" s="1" t="s">
        <v>170</v>
      </c>
    </row>
    <row r="19" spans="2:18" x14ac:dyDescent="0.35">
      <c r="G19" t="s">
        <v>169</v>
      </c>
    </row>
    <row r="20" spans="2:18" x14ac:dyDescent="0.35">
      <c r="B20" t="s">
        <v>168</v>
      </c>
      <c r="C20" t="s">
        <v>45</v>
      </c>
      <c r="D20" t="s">
        <v>46</v>
      </c>
      <c r="E20" t="s">
        <v>47</v>
      </c>
      <c r="F20" t="s">
        <v>48</v>
      </c>
      <c r="G20" t="s">
        <v>49</v>
      </c>
      <c r="H20" t="s">
        <v>50</v>
      </c>
      <c r="I20" t="s">
        <v>51</v>
      </c>
      <c r="J20" t="s">
        <v>52</v>
      </c>
      <c r="K20" t="s">
        <v>53</v>
      </c>
      <c r="L20" t="s">
        <v>167</v>
      </c>
      <c r="M20" t="s">
        <v>166</v>
      </c>
      <c r="N20" t="s">
        <v>95</v>
      </c>
      <c r="O20" t="s">
        <v>206</v>
      </c>
      <c r="Q20" s="10" t="s">
        <v>167</v>
      </c>
      <c r="R20" s="10" t="s">
        <v>166</v>
      </c>
    </row>
    <row r="21" spans="2:18" x14ac:dyDescent="0.35">
      <c r="B21" t="s">
        <v>165</v>
      </c>
      <c r="C21" s="27">
        <v>1.452</v>
      </c>
      <c r="D21" s="27">
        <v>1.331</v>
      </c>
      <c r="E21" s="27">
        <v>1.1495</v>
      </c>
      <c r="F21" s="27">
        <v>1.5427499999999998</v>
      </c>
      <c r="G21" s="27">
        <v>2.9947499999999998</v>
      </c>
      <c r="H21" s="27">
        <v>1.5124999999999997</v>
      </c>
      <c r="I21" s="27">
        <v>1.4217499999999998</v>
      </c>
      <c r="J21" s="27">
        <v>1.9057500000000001</v>
      </c>
      <c r="K21" s="27">
        <v>1.4217499999999998</v>
      </c>
      <c r="L21" s="27">
        <f>MAX(Table1876[[#This Row],[S1M1]:[S3M3]])</f>
        <v>2.9947499999999998</v>
      </c>
      <c r="M21" s="27">
        <f>MIN(Table1876[[#This Row],[S1M1]:[S3M3]])</f>
        <v>1.1495</v>
      </c>
      <c r="N21" t="s">
        <v>39</v>
      </c>
      <c r="O21" s="2">
        <f>Table1876[[#This Row],[Nilai Terbaik]]-Table1876[[#This Row],[Nilai Terjelek]]</f>
        <v>1.8452499999999998</v>
      </c>
      <c r="Q21" s="7">
        <v>5.99</v>
      </c>
      <c r="R21" s="17">
        <v>2.2999999999999998</v>
      </c>
    </row>
    <row r="22" spans="2:18" x14ac:dyDescent="0.35">
      <c r="B22" t="s">
        <v>164</v>
      </c>
      <c r="C22" s="27">
        <v>4.8666666666666663</v>
      </c>
      <c r="D22" s="27">
        <v>4.5333333333333332</v>
      </c>
      <c r="E22" s="27">
        <v>4.7</v>
      </c>
      <c r="F22" s="27">
        <v>4.7666666666666666</v>
      </c>
      <c r="G22" s="27">
        <v>4.4666666666666668</v>
      </c>
      <c r="H22" s="27">
        <v>4.3666666666666663</v>
      </c>
      <c r="I22" s="27">
        <v>4.6666666666666661</v>
      </c>
      <c r="J22" s="27">
        <v>4.5999999999999996</v>
      </c>
      <c r="K22" s="27">
        <v>4.8666666666666663</v>
      </c>
      <c r="L22" s="27">
        <f>MIN(Table1876[[#This Row],[S1M1]:[S3M3]])</f>
        <v>4.3666666666666663</v>
      </c>
      <c r="M22" s="27">
        <f>MAX(Table1876[[#This Row],[S1M1]:[S3M3]])</f>
        <v>4.8666666666666663</v>
      </c>
      <c r="N22" t="s">
        <v>40</v>
      </c>
      <c r="O22" s="2">
        <f>Table1876[[#This Row],[Nilai Terbaik]]-Table1876[[#This Row],[Nilai Terjelek]]</f>
        <v>-0.5</v>
      </c>
      <c r="Q22" s="7">
        <v>14.6</v>
      </c>
      <c r="R22" s="7">
        <v>13.1</v>
      </c>
    </row>
    <row r="23" spans="2:18" x14ac:dyDescent="0.35">
      <c r="B23" t="s">
        <v>163</v>
      </c>
      <c r="C23" s="27">
        <v>1.2666666666666668</v>
      </c>
      <c r="D23" s="27">
        <v>1.0666666666666667</v>
      </c>
      <c r="E23" s="27">
        <v>0.9</v>
      </c>
      <c r="F23" s="27">
        <v>0.73333333333333339</v>
      </c>
      <c r="G23" s="27">
        <v>0.6333333333333333</v>
      </c>
      <c r="H23" s="27">
        <v>0.46666666666666662</v>
      </c>
      <c r="I23" s="27">
        <v>0.66666666666666663</v>
      </c>
      <c r="J23" s="27">
        <v>0.46666666666666662</v>
      </c>
      <c r="K23" s="27">
        <v>0.33333333333333331</v>
      </c>
      <c r="L23" s="27">
        <f>MAX(Table1876[[#This Row],[S1M1]:[S3M3]])</f>
        <v>1.2666666666666668</v>
      </c>
      <c r="M23" s="27">
        <f>MIN(Table1876[[#This Row],[S1M1]:[S3M3]])</f>
        <v>0.33333333333333331</v>
      </c>
      <c r="N23" t="s">
        <v>39</v>
      </c>
      <c r="O23" s="2">
        <f>Table1876[[#This Row],[Nilai Terbaik]]-Table1876[[#This Row],[Nilai Terjelek]]</f>
        <v>0.93333333333333357</v>
      </c>
      <c r="Q23" s="17">
        <v>3.8</v>
      </c>
      <c r="R23" s="17">
        <v>1</v>
      </c>
    </row>
    <row r="24" spans="2:18" x14ac:dyDescent="0.35">
      <c r="B24" t="s">
        <v>36</v>
      </c>
      <c r="C24" s="27">
        <v>41.833333333333336</v>
      </c>
      <c r="D24" s="27">
        <v>40.666666666666664</v>
      </c>
      <c r="E24" s="27">
        <v>38.666666666666664</v>
      </c>
      <c r="F24" s="27">
        <v>42</v>
      </c>
      <c r="G24" s="27">
        <v>40.333333333333336</v>
      </c>
      <c r="H24" s="27">
        <v>39.666666666666664</v>
      </c>
      <c r="I24" s="27">
        <v>41.666666666666664</v>
      </c>
      <c r="J24" s="27">
        <v>41.166666666666664</v>
      </c>
      <c r="K24" s="27">
        <v>41</v>
      </c>
      <c r="L24" s="27">
        <f>MAX(Table1876[[#This Row],[S1M1]:[S3M3]])</f>
        <v>42</v>
      </c>
      <c r="M24" s="27">
        <f>MIN(Table1876[[#This Row],[S1M1]:[S3M3]])</f>
        <v>38.666666666666664</v>
      </c>
      <c r="N24" t="s">
        <v>39</v>
      </c>
      <c r="O24" s="2">
        <f>Table1876[[#This Row],[Nilai Terbaik]]-Table1876[[#This Row],[Nilai Terjelek]]</f>
        <v>3.3333333333333357</v>
      </c>
      <c r="Q24" s="7">
        <v>126</v>
      </c>
      <c r="R24" s="7">
        <v>116</v>
      </c>
    </row>
    <row r="25" spans="2:18" x14ac:dyDescent="0.35">
      <c r="B25" t="s">
        <v>162</v>
      </c>
      <c r="C25" s="27">
        <v>32.026666666666664</v>
      </c>
      <c r="D25" s="27">
        <v>30.013333333333335</v>
      </c>
      <c r="E25" s="27">
        <v>33.926666666666669</v>
      </c>
      <c r="F25" s="27">
        <v>30.533333333333331</v>
      </c>
      <c r="G25" s="27">
        <v>32.883333333333333</v>
      </c>
      <c r="H25" s="27">
        <v>32.813333333333333</v>
      </c>
      <c r="I25" s="27">
        <v>30.836666666666662</v>
      </c>
      <c r="J25" s="27">
        <v>30.386666666666667</v>
      </c>
      <c r="K25" s="27">
        <v>36.56</v>
      </c>
      <c r="L25" s="27">
        <f>MIN(Table1876[[#This Row],[S1M1]:[S3M3]])</f>
        <v>30.013333333333335</v>
      </c>
      <c r="M25" s="27">
        <f>MAX(Table1876[[#This Row],[S1M1]:[S3M3]])</f>
        <v>36.56</v>
      </c>
      <c r="N25" t="s">
        <v>40</v>
      </c>
      <c r="O25" s="2">
        <f>Table1876[[#This Row],[Nilai Terbaik]]-Table1876[[#This Row],[Nilai Terjelek]]</f>
        <v>-6.5466666666666669</v>
      </c>
      <c r="Q25" s="7">
        <v>109.68</v>
      </c>
      <c r="R25" s="7">
        <v>90.04</v>
      </c>
    </row>
    <row r="26" spans="2:18" x14ac:dyDescent="0.35">
      <c r="B26" t="s">
        <v>161</v>
      </c>
      <c r="C26" s="27">
        <v>8.2866666666666671</v>
      </c>
      <c r="D26" s="27">
        <v>6.4766666666666666</v>
      </c>
      <c r="E26" s="27">
        <v>10.793333333333331</v>
      </c>
      <c r="F26" s="27">
        <v>2.9966666666666666</v>
      </c>
      <c r="G26" s="27">
        <v>13.406666666666666</v>
      </c>
      <c r="H26" s="27">
        <v>10.746666666666668</v>
      </c>
      <c r="I26" s="27">
        <v>5.4266666666666667</v>
      </c>
      <c r="J26" s="27">
        <v>4.626666666666666</v>
      </c>
      <c r="K26" s="27">
        <v>16.203333333333333</v>
      </c>
      <c r="L26" s="27">
        <f>MIN(Table1876[[#This Row],[S1M1]:[S3M3]])</f>
        <v>2.9966666666666666</v>
      </c>
      <c r="M26" s="27">
        <f>MAX(Table1876[[#This Row],[S1M1]:[S3M3]])</f>
        <v>16.203333333333333</v>
      </c>
      <c r="N26" t="s">
        <v>40</v>
      </c>
      <c r="O26" s="2">
        <f>Table1876[[#This Row],[Nilai Terbaik]]-Table1876[[#This Row],[Nilai Terjelek]]</f>
        <v>-13.206666666666667</v>
      </c>
      <c r="Q26" s="7">
        <v>48.61</v>
      </c>
      <c r="R26" s="7">
        <v>8.99</v>
      </c>
    </row>
    <row r="27" spans="2:18" x14ac:dyDescent="0.35">
      <c r="B27" t="s">
        <v>160</v>
      </c>
      <c r="C27" s="27">
        <v>22.319999999999997</v>
      </c>
      <c r="D27" s="27">
        <v>23.843333333333334</v>
      </c>
      <c r="E27" s="27">
        <v>25.403333333333336</v>
      </c>
      <c r="F27" s="27">
        <v>17.223333333333333</v>
      </c>
      <c r="G27" s="27">
        <v>27.923333333333332</v>
      </c>
      <c r="H27" s="27">
        <v>23.556666666666668</v>
      </c>
      <c r="I27" s="27">
        <v>19.27</v>
      </c>
      <c r="J27" s="27">
        <v>21.043333333333333</v>
      </c>
      <c r="K27" s="27">
        <v>30.7</v>
      </c>
      <c r="L27" s="27">
        <f>MIN(Table1876[[#This Row],[S1M1]:[S3M3]])</f>
        <v>17.223333333333333</v>
      </c>
      <c r="M27" s="27">
        <f>MAX(Table1876[[#This Row],[S1M1]:[S3M3]])</f>
        <v>30.7</v>
      </c>
      <c r="N27" t="s">
        <v>40</v>
      </c>
      <c r="O27" s="2">
        <f>Table1876[[#This Row],[Nilai Terbaik]]-Table1876[[#This Row],[Nilai Terjelek]]</f>
        <v>-13.476666666666667</v>
      </c>
      <c r="Q27" s="7">
        <v>92.1</v>
      </c>
      <c r="R27" s="7">
        <v>51.67</v>
      </c>
    </row>
    <row r="28" spans="2:18" x14ac:dyDescent="0.35">
      <c r="B28" t="s">
        <v>159</v>
      </c>
      <c r="C28" s="27">
        <v>1776666666.6666667</v>
      </c>
      <c r="D28" s="27">
        <v>2656666666.6666665</v>
      </c>
      <c r="E28" s="27">
        <v>1093333333.3333333</v>
      </c>
      <c r="F28" s="27">
        <v>1473333333.3333333</v>
      </c>
      <c r="G28" s="27">
        <v>3576666666.6666665</v>
      </c>
      <c r="H28" s="27">
        <v>773333333.33333337</v>
      </c>
      <c r="I28" s="27">
        <v>1503333333.3333333</v>
      </c>
      <c r="J28" s="27">
        <v>1300000000</v>
      </c>
      <c r="K28" s="27">
        <v>360000000</v>
      </c>
      <c r="L28" s="27">
        <f>MIN(Table1876[[#This Row],[S1M1]:[S3M3]])</f>
        <v>360000000</v>
      </c>
      <c r="M28" s="27">
        <f>MAX(Table1876[[#This Row],[S1M1]:[S3M3]])</f>
        <v>3576666666.6666665</v>
      </c>
      <c r="N28" s="11" t="s">
        <v>40</v>
      </c>
      <c r="O28" s="11">
        <f>Table1876[[#This Row],[Nilai Terbaik]]-Table1876[[#This Row],[Nilai Terjelek]]</f>
        <v>-3216666666.6666665</v>
      </c>
      <c r="Q28" s="7">
        <v>92.1</v>
      </c>
      <c r="R28" s="7">
        <v>51.67</v>
      </c>
    </row>
    <row r="29" spans="2:18" x14ac:dyDescent="0.35">
      <c r="B29" t="s">
        <v>158</v>
      </c>
      <c r="C29" s="27">
        <v>3.5333333333333332</v>
      </c>
      <c r="D29" s="27">
        <v>3.6666666666666665</v>
      </c>
      <c r="E29" s="27">
        <v>3.7</v>
      </c>
      <c r="F29" s="27">
        <v>3.9</v>
      </c>
      <c r="G29" s="27">
        <v>3.7333333333333334</v>
      </c>
      <c r="H29" s="27">
        <v>3.6666666666666665</v>
      </c>
      <c r="I29" s="27">
        <v>3.7</v>
      </c>
      <c r="J29" s="27">
        <v>3.8</v>
      </c>
      <c r="K29" s="27">
        <v>3.8333333333333335</v>
      </c>
      <c r="L29" s="27">
        <f>MAX(Table1876[[#This Row],[S1M1]:[S3M3]])</f>
        <v>3.9</v>
      </c>
      <c r="M29" s="27">
        <f>MIN(Table1876[[#This Row],[S1M1]:[S3M3]])</f>
        <v>3.5333333333333332</v>
      </c>
      <c r="N29" t="s">
        <v>39</v>
      </c>
      <c r="O29" s="2">
        <f>Table1876[[#This Row],[Nilai Terbaik]]-Table1876[[#This Row],[Nilai Terjelek]]</f>
        <v>0.3666666666666667</v>
      </c>
      <c r="Q29" s="17">
        <v>3.9</v>
      </c>
      <c r="R29" s="7">
        <v>3.53</v>
      </c>
    </row>
    <row r="30" spans="2:18" x14ac:dyDescent="0.35">
      <c r="B30" t="s">
        <v>157</v>
      </c>
      <c r="C30" s="27">
        <v>3.3666666666666667</v>
      </c>
      <c r="D30" s="27">
        <v>3.4666666666666668</v>
      </c>
      <c r="E30" s="27">
        <v>3.4666666666666668</v>
      </c>
      <c r="F30" s="27">
        <v>3.8</v>
      </c>
      <c r="G30" s="27">
        <v>3.5666666666666669</v>
      </c>
      <c r="H30" s="27">
        <v>3.7</v>
      </c>
      <c r="I30" s="27">
        <v>3.7666666666666666</v>
      </c>
      <c r="J30" s="27">
        <v>3.6</v>
      </c>
      <c r="K30" s="27">
        <v>3.8</v>
      </c>
      <c r="L30" s="27">
        <f>MAX(Table1876[[#This Row],[S1M1]:[S3M3]])</f>
        <v>3.8</v>
      </c>
      <c r="M30" s="27">
        <f>MIN(Table1876[[#This Row],[S1M1]:[S3M3]])</f>
        <v>3.3666666666666667</v>
      </c>
      <c r="N30" t="s">
        <v>39</v>
      </c>
      <c r="O30" s="2">
        <f>Table1876[[#This Row],[Nilai Terbaik]]-Table1876[[#This Row],[Nilai Terjelek]]</f>
        <v>0.43333333333333313</v>
      </c>
      <c r="Q30" s="17">
        <v>3.8</v>
      </c>
      <c r="R30" s="7">
        <v>3.37</v>
      </c>
    </row>
    <row r="31" spans="2:18" x14ac:dyDescent="0.35">
      <c r="B31" t="s">
        <v>156</v>
      </c>
      <c r="C31" s="27">
        <v>3.6333333333333333</v>
      </c>
      <c r="D31" s="27">
        <v>3.6666666666666665</v>
      </c>
      <c r="E31" s="27">
        <v>3.8</v>
      </c>
      <c r="F31" s="27">
        <v>3.4</v>
      </c>
      <c r="G31" s="27">
        <v>3.4666666666666668</v>
      </c>
      <c r="H31" s="27">
        <v>3.6666666666666665</v>
      </c>
      <c r="I31" s="27">
        <v>3.7333333333333334</v>
      </c>
      <c r="J31" s="27">
        <v>3.6</v>
      </c>
      <c r="K31" s="27">
        <v>3.5333333333333332</v>
      </c>
      <c r="L31" s="27">
        <f>MAX(Table1876[[#This Row],[S1M1]:[S3M3]])</f>
        <v>3.8</v>
      </c>
      <c r="M31" s="27">
        <f>MIN(Table1876[[#This Row],[S1M1]:[S3M3]])</f>
        <v>3.4</v>
      </c>
      <c r="N31" t="s">
        <v>39</v>
      </c>
      <c r="O31" s="2">
        <f>Table1876[[#This Row],[Nilai Terbaik]]-Table1876[[#This Row],[Nilai Terjelek]]</f>
        <v>0.39999999999999991</v>
      </c>
      <c r="Q31" s="7">
        <v>3.83</v>
      </c>
      <c r="R31" s="17">
        <v>3.5</v>
      </c>
    </row>
    <row r="32" spans="2:18" x14ac:dyDescent="0.35">
      <c r="B32" t="s">
        <v>155</v>
      </c>
      <c r="C32" s="27">
        <v>3.7</v>
      </c>
      <c r="D32" s="27">
        <v>3.7333333333333334</v>
      </c>
      <c r="E32" s="27">
        <v>3.7</v>
      </c>
      <c r="F32" s="27">
        <v>3.6666666666666665</v>
      </c>
      <c r="G32" s="27">
        <v>3.5</v>
      </c>
      <c r="H32" s="27">
        <v>3.7</v>
      </c>
      <c r="I32" s="27">
        <v>3.8333333333333335</v>
      </c>
      <c r="J32" s="27">
        <v>3.6666666666666665</v>
      </c>
      <c r="K32" s="27">
        <v>3.7666666666666666</v>
      </c>
      <c r="L32" s="27">
        <f>MAX(Table1876[[#This Row],[S1M1]:[S3M3]])</f>
        <v>3.8333333333333335</v>
      </c>
      <c r="M32" s="27">
        <f>MIN(Table1876[[#This Row],[S1M1]:[S3M3]])</f>
        <v>3.5</v>
      </c>
      <c r="N32" t="s">
        <v>39</v>
      </c>
      <c r="O32" s="2">
        <f>Table1876[[#This Row],[Nilai Terbaik]]-Table1876[[#This Row],[Nilai Terjelek]]</f>
        <v>0.33333333333333348</v>
      </c>
      <c r="Q32" s="18">
        <v>3.8</v>
      </c>
      <c r="R32" s="18">
        <v>3.4</v>
      </c>
    </row>
    <row r="36" spans="2:22" x14ac:dyDescent="0.35">
      <c r="B36" s="9" t="s">
        <v>168</v>
      </c>
      <c r="C36" t="s">
        <v>205</v>
      </c>
      <c r="D36" t="s">
        <v>256</v>
      </c>
      <c r="E36" s="10" t="s">
        <v>45</v>
      </c>
      <c r="F36" s="10" t="s">
        <v>46</v>
      </c>
      <c r="G36" s="10" t="s">
        <v>47</v>
      </c>
      <c r="H36" s="10" t="s">
        <v>48</v>
      </c>
      <c r="I36" s="10" t="s">
        <v>49</v>
      </c>
      <c r="J36" s="10" t="s">
        <v>50</v>
      </c>
      <c r="K36" s="10" t="s">
        <v>51</v>
      </c>
      <c r="L36" s="10" t="s">
        <v>52</v>
      </c>
      <c r="M36" s="10" t="s">
        <v>53</v>
      </c>
      <c r="N36" s="10" t="s">
        <v>45</v>
      </c>
      <c r="O36" s="10" t="s">
        <v>46</v>
      </c>
      <c r="P36" s="10" t="s">
        <v>47</v>
      </c>
      <c r="Q36" s="10" t="s">
        <v>48</v>
      </c>
      <c r="R36" s="10" t="s">
        <v>49</v>
      </c>
      <c r="S36" s="10" t="s">
        <v>50</v>
      </c>
      <c r="T36" s="10" t="s">
        <v>51</v>
      </c>
      <c r="U36" s="10" t="s">
        <v>52</v>
      </c>
      <c r="V36" s="10" t="s">
        <v>53</v>
      </c>
    </row>
    <row r="37" spans="2:22" x14ac:dyDescent="0.35">
      <c r="B37" s="6" t="s">
        <v>165</v>
      </c>
      <c r="C37" s="4">
        <f t="shared" ref="C37:C48" si="0">AH4</f>
        <v>0.90666666666666662</v>
      </c>
      <c r="D37" s="2">
        <f t="shared" ref="D37:D48" si="1">C37/$C$49</f>
        <v>8.8311688311688313E-2</v>
      </c>
      <c r="E37" s="2">
        <f>(C21-M21)/O21</f>
        <v>0.16393442622950821</v>
      </c>
      <c r="F37" s="2">
        <f>(D21-M21)/O21</f>
        <v>9.836065573770493E-2</v>
      </c>
      <c r="G37" s="2">
        <f t="shared" ref="G37" si="2">(E21-M21)/O21</f>
        <v>0</v>
      </c>
      <c r="H37" s="2">
        <f t="shared" ref="H37" si="3">(F21-M21)/O21</f>
        <v>0.21311475409836061</v>
      </c>
      <c r="I37" s="2">
        <f t="shared" ref="I37" si="4">(G21-M21)/O21</f>
        <v>1</v>
      </c>
      <c r="J37" s="2">
        <f t="shared" ref="J37" si="5">(H21-M21)/O21</f>
        <v>0.19672131147540972</v>
      </c>
      <c r="K37" s="2">
        <f t="shared" ref="K37" si="6">(I21-M21)/O21</f>
        <v>0.14754098360655732</v>
      </c>
      <c r="L37" s="2">
        <f t="shared" ref="L37" si="7">(J21-M21)/O21</f>
        <v>0.40983606557377056</v>
      </c>
      <c r="M37" s="2">
        <f t="shared" ref="M37" si="8">(K21-M21)/O21</f>
        <v>0.14754098360655732</v>
      </c>
      <c r="N37" s="2">
        <f>E37*$D37</f>
        <v>1.4477325952735791E-2</v>
      </c>
      <c r="O37" s="2">
        <f t="shared" ref="O37:S37" si="9">F37*$D37</f>
        <v>8.686395571641475E-3</v>
      </c>
      <c r="P37" s="2">
        <f t="shared" si="9"/>
        <v>0</v>
      </c>
      <c r="Q37" s="2">
        <f t="shared" si="9"/>
        <v>1.8820523738556524E-2</v>
      </c>
      <c r="R37" s="2">
        <f t="shared" si="9"/>
        <v>8.8311688311688313E-2</v>
      </c>
      <c r="S37" s="2">
        <f t="shared" si="9"/>
        <v>1.7372791143282936E-2</v>
      </c>
      <c r="T37" s="2">
        <f>K37*$D37</f>
        <v>1.3029593357462205E-2</v>
      </c>
      <c r="U37" s="2">
        <f t="shared" ref="U37:V43" si="10">L37*$D37</f>
        <v>3.6193314881839481E-2</v>
      </c>
      <c r="V37" s="2">
        <f t="shared" si="10"/>
        <v>1.3029593357462205E-2</v>
      </c>
    </row>
    <row r="38" spans="2:22" x14ac:dyDescent="0.35">
      <c r="B38" s="6" t="s">
        <v>164</v>
      </c>
      <c r="C38" s="4">
        <f t="shared" si="0"/>
        <v>0.87333333333333318</v>
      </c>
      <c r="D38" s="2">
        <f t="shared" si="1"/>
        <v>8.5064935064935052E-2</v>
      </c>
      <c r="E38" s="2">
        <f>(C22-M22)/O22</f>
        <v>0</v>
      </c>
      <c r="F38" s="2">
        <f t="shared" ref="F38:F48" si="11">(D22-M22)/O22</f>
        <v>0.66666666666666607</v>
      </c>
      <c r="G38" s="2">
        <f t="shared" ref="G38:G48" si="12">(E22-M22)/O22</f>
        <v>0.33333333333333215</v>
      </c>
      <c r="H38" s="2">
        <f t="shared" ref="H38:H48" si="13">(F22-M22)/O22</f>
        <v>0.19999999999999929</v>
      </c>
      <c r="I38" s="2">
        <f t="shared" ref="I38:I48" si="14">(G22-M22)/O22</f>
        <v>0.79999999999999893</v>
      </c>
      <c r="J38" s="2">
        <f t="shared" ref="J38:J48" si="15">(H22-M22)/O22</f>
        <v>1</v>
      </c>
      <c r="K38" s="2">
        <f t="shared" ref="K38:K48" si="16">(I22-M22)/O22</f>
        <v>0.40000000000000036</v>
      </c>
      <c r="L38" s="2">
        <f t="shared" ref="L38:L48" si="17">(J22-M22)/O22</f>
        <v>0.53333333333333321</v>
      </c>
      <c r="M38" s="2">
        <f t="shared" ref="M38:M48" si="18">(K22-M22)/O22</f>
        <v>0</v>
      </c>
      <c r="N38" s="2">
        <f t="shared" ref="N38:N48" si="19">E38*$D38</f>
        <v>0</v>
      </c>
      <c r="O38" s="2">
        <f t="shared" ref="O38:O48" si="20">F38*$D38</f>
        <v>5.6709956709956648E-2</v>
      </c>
      <c r="P38" s="2">
        <f t="shared" ref="P38:P48" si="21">G38*$D38</f>
        <v>2.8354978354978251E-2</v>
      </c>
      <c r="Q38" s="2">
        <f t="shared" ref="Q38:Q48" si="22">H38*$D38</f>
        <v>1.7012987012986949E-2</v>
      </c>
      <c r="R38" s="2">
        <f t="shared" ref="R38:R48" si="23">I38*$D38</f>
        <v>6.8051948051947947E-2</v>
      </c>
      <c r="S38" s="2">
        <f t="shared" ref="S38:S48" si="24">J38*$D38</f>
        <v>8.5064935064935052E-2</v>
      </c>
      <c r="T38" s="2">
        <f t="shared" ref="T38:T48" si="25">K38*$D38</f>
        <v>3.402597402597405E-2</v>
      </c>
      <c r="U38" s="2">
        <f t="shared" si="10"/>
        <v>4.5367965367965349E-2</v>
      </c>
      <c r="V38" s="2">
        <f t="shared" si="10"/>
        <v>0</v>
      </c>
    </row>
    <row r="39" spans="2:22" x14ac:dyDescent="0.35">
      <c r="B39" s="6" t="s">
        <v>163</v>
      </c>
      <c r="C39" s="4">
        <f t="shared" si="0"/>
        <v>0.80333333333333323</v>
      </c>
      <c r="D39" s="2">
        <f t="shared" si="1"/>
        <v>7.8246753246753245E-2</v>
      </c>
      <c r="E39" s="2">
        <f t="shared" ref="E39:E48" si="26">(C23-M23)/O23</f>
        <v>1</v>
      </c>
      <c r="F39" s="2">
        <f t="shared" si="11"/>
        <v>0.78571428571428559</v>
      </c>
      <c r="G39" s="2">
        <f t="shared" si="12"/>
        <v>0.60714285714285698</v>
      </c>
      <c r="H39" s="2">
        <f t="shared" si="13"/>
        <v>0.42857142857142855</v>
      </c>
      <c r="I39" s="2">
        <f t="shared" si="14"/>
        <v>0.32142857142857134</v>
      </c>
      <c r="J39" s="2">
        <f t="shared" si="15"/>
        <v>0.14285714285714279</v>
      </c>
      <c r="K39" s="2">
        <f t="shared" si="16"/>
        <v>0.35714285714285704</v>
      </c>
      <c r="L39" s="2">
        <f t="shared" si="17"/>
        <v>0.14285714285714279</v>
      </c>
      <c r="M39" s="2">
        <f t="shared" si="18"/>
        <v>0</v>
      </c>
      <c r="N39" s="2">
        <f t="shared" si="19"/>
        <v>7.8246753246753245E-2</v>
      </c>
      <c r="O39" s="2">
        <f t="shared" si="20"/>
        <v>6.1479591836734682E-2</v>
      </c>
      <c r="P39" s="2">
        <f t="shared" si="21"/>
        <v>4.7506957328385883E-2</v>
      </c>
      <c r="Q39" s="2">
        <f t="shared" si="22"/>
        <v>3.3534322820037106E-2</v>
      </c>
      <c r="R39" s="2">
        <f t="shared" si="23"/>
        <v>2.5150742115027821E-2</v>
      </c>
      <c r="S39" s="2">
        <f t="shared" si="24"/>
        <v>1.117810760667903E-2</v>
      </c>
      <c r="T39" s="2">
        <f t="shared" si="25"/>
        <v>2.7945269016697579E-2</v>
      </c>
      <c r="U39" s="2">
        <f t="shared" si="10"/>
        <v>1.117810760667903E-2</v>
      </c>
      <c r="V39" s="2">
        <f t="shared" si="10"/>
        <v>0</v>
      </c>
    </row>
    <row r="40" spans="2:22" x14ac:dyDescent="0.35">
      <c r="B40" s="6" t="s">
        <v>36</v>
      </c>
      <c r="C40" s="4">
        <f t="shared" si="0"/>
        <v>0.83</v>
      </c>
      <c r="D40" s="2">
        <f t="shared" si="1"/>
        <v>8.0844155844155843E-2</v>
      </c>
      <c r="E40" s="2">
        <f t="shared" si="26"/>
        <v>0.95000000000000073</v>
      </c>
      <c r="F40" s="2">
        <f t="shared" si="11"/>
        <v>0.59999999999999953</v>
      </c>
      <c r="G40" s="2">
        <f t="shared" si="12"/>
        <v>0</v>
      </c>
      <c r="H40" s="2">
        <f t="shared" si="13"/>
        <v>1</v>
      </c>
      <c r="I40" s="2">
        <f t="shared" si="14"/>
        <v>0.50000000000000111</v>
      </c>
      <c r="J40" s="2">
        <f t="shared" si="15"/>
        <v>0.29999999999999977</v>
      </c>
      <c r="K40" s="2">
        <f t="shared" si="16"/>
        <v>0.89999999999999936</v>
      </c>
      <c r="L40" s="2">
        <f t="shared" si="17"/>
        <v>0.74999999999999944</v>
      </c>
      <c r="M40" s="2">
        <f t="shared" si="18"/>
        <v>0.70000000000000018</v>
      </c>
      <c r="N40" s="2">
        <f>E40*$D40</f>
        <v>7.6801948051948107E-2</v>
      </c>
      <c r="O40" s="2">
        <f t="shared" si="20"/>
        <v>4.850649350649347E-2</v>
      </c>
      <c r="P40" s="2">
        <f t="shared" si="21"/>
        <v>0</v>
      </c>
      <c r="Q40" s="2">
        <f t="shared" si="22"/>
        <v>8.0844155844155843E-2</v>
      </c>
      <c r="R40" s="2">
        <f t="shared" si="23"/>
        <v>4.0422077922078012E-2</v>
      </c>
      <c r="S40" s="2">
        <f t="shared" si="24"/>
        <v>2.4253246753246735E-2</v>
      </c>
      <c r="T40" s="2">
        <f t="shared" si="25"/>
        <v>7.2759740259740205E-2</v>
      </c>
      <c r="U40" s="2">
        <f t="shared" si="10"/>
        <v>6.0633116883116837E-2</v>
      </c>
      <c r="V40" s="2">
        <f t="shared" si="10"/>
        <v>5.6590909090909101E-2</v>
      </c>
    </row>
    <row r="41" spans="2:22" x14ac:dyDescent="0.35">
      <c r="B41" s="6" t="s">
        <v>162</v>
      </c>
      <c r="C41" s="4">
        <f t="shared" si="0"/>
        <v>0.83999999999999986</v>
      </c>
      <c r="D41" s="2">
        <f t="shared" si="1"/>
        <v>8.1818181818181818E-2</v>
      </c>
      <c r="E41" s="2">
        <f t="shared" si="26"/>
        <v>0.69246435845213927</v>
      </c>
      <c r="F41" s="2">
        <f t="shared" si="11"/>
        <v>1</v>
      </c>
      <c r="G41" s="2">
        <f t="shared" si="12"/>
        <v>0.40224032586558034</v>
      </c>
      <c r="H41" s="2">
        <f t="shared" si="13"/>
        <v>0.92057026476578474</v>
      </c>
      <c r="I41" s="2">
        <f t="shared" si="14"/>
        <v>0.56160896130346272</v>
      </c>
      <c r="J41" s="2">
        <f t="shared" si="15"/>
        <v>0.57230142566191489</v>
      </c>
      <c r="K41" s="2">
        <f t="shared" si="16"/>
        <v>0.87423625254582582</v>
      </c>
      <c r="L41" s="2">
        <f t="shared" si="17"/>
        <v>0.94297352342158891</v>
      </c>
      <c r="M41" s="2">
        <f t="shared" si="18"/>
        <v>0</v>
      </c>
      <c r="N41" s="2">
        <f t="shared" si="19"/>
        <v>5.6656174782447756E-2</v>
      </c>
      <c r="O41" s="2">
        <f t="shared" si="20"/>
        <v>8.1818181818181818E-2</v>
      </c>
      <c r="P41" s="2">
        <f t="shared" si="21"/>
        <v>3.2910572116274753E-2</v>
      </c>
      <c r="Q41" s="2">
        <f t="shared" si="22"/>
        <v>7.5319385299018757E-2</v>
      </c>
      <c r="R41" s="2">
        <f t="shared" si="23"/>
        <v>4.5949824106646948E-2</v>
      </c>
      <c r="S41" s="2">
        <f t="shared" si="24"/>
        <v>4.6824662099611218E-2</v>
      </c>
      <c r="T41" s="2">
        <f t="shared" si="25"/>
        <v>7.1528420662840292E-2</v>
      </c>
      <c r="U41" s="2">
        <f t="shared" si="10"/>
        <v>7.7152379189039097E-2</v>
      </c>
      <c r="V41" s="2">
        <f t="shared" si="10"/>
        <v>0</v>
      </c>
    </row>
    <row r="42" spans="2:22" x14ac:dyDescent="0.35">
      <c r="B42" s="6" t="s">
        <v>161</v>
      </c>
      <c r="C42" s="4">
        <f t="shared" si="0"/>
        <v>0.85666666666666669</v>
      </c>
      <c r="D42" s="2">
        <f t="shared" si="1"/>
        <v>8.3441558441558455E-2</v>
      </c>
      <c r="E42" s="2">
        <f t="shared" si="26"/>
        <v>0.59944472488642098</v>
      </c>
      <c r="F42" s="2">
        <f t="shared" si="11"/>
        <v>0.73649671882887424</v>
      </c>
      <c r="G42" s="2">
        <f t="shared" si="12"/>
        <v>0.40964159515396276</v>
      </c>
      <c r="H42" s="2">
        <f t="shared" si="13"/>
        <v>1</v>
      </c>
      <c r="I42" s="2">
        <f t="shared" si="14"/>
        <v>0.21176173649671884</v>
      </c>
      <c r="J42" s="2">
        <f t="shared" si="15"/>
        <v>0.41317516405855614</v>
      </c>
      <c r="K42" s="2">
        <f t="shared" si="16"/>
        <v>0.81600201918223125</v>
      </c>
      <c r="L42" s="2">
        <f t="shared" si="17"/>
        <v>0.87657748611812225</v>
      </c>
      <c r="M42" s="2">
        <f t="shared" si="18"/>
        <v>0</v>
      </c>
      <c r="N42" s="2">
        <f t="shared" si="19"/>
        <v>5.0018602044094224E-2</v>
      </c>
      <c r="O42" s="2">
        <f t="shared" si="20"/>
        <v>6.1454434006175555E-2</v>
      </c>
      <c r="P42" s="2">
        <f t="shared" si="21"/>
        <v>3.418113310213261E-2</v>
      </c>
      <c r="Q42" s="2">
        <f t="shared" si="22"/>
        <v>8.3441558441558455E-2</v>
      </c>
      <c r="R42" s="2">
        <f t="shared" si="23"/>
        <v>1.7669729311576867E-2</v>
      </c>
      <c r="S42" s="2">
        <f t="shared" si="24"/>
        <v>3.4475979598392513E-2</v>
      </c>
      <c r="T42" s="2">
        <f t="shared" si="25"/>
        <v>6.8088480172023846E-2</v>
      </c>
      <c r="U42" s="2">
        <f t="shared" si="10"/>
        <v>7.3142991536479698E-2</v>
      </c>
      <c r="V42" s="2">
        <f t="shared" si="10"/>
        <v>0</v>
      </c>
    </row>
    <row r="43" spans="2:22" x14ac:dyDescent="0.35">
      <c r="B43" s="6" t="s">
        <v>160</v>
      </c>
      <c r="C43" s="4">
        <f t="shared" si="0"/>
        <v>0.82999999999999985</v>
      </c>
      <c r="D43" s="2">
        <f t="shared" si="1"/>
        <v>8.0844155844155843E-2</v>
      </c>
      <c r="E43" s="2">
        <f t="shared" si="26"/>
        <v>0.62181548355181815</v>
      </c>
      <c r="F43" s="2">
        <f t="shared" si="11"/>
        <v>0.50878060845906492</v>
      </c>
      <c r="G43" s="2">
        <f t="shared" si="12"/>
        <v>0.3930249814494185</v>
      </c>
      <c r="H43" s="2">
        <f t="shared" si="13"/>
        <v>1</v>
      </c>
      <c r="I43" s="2">
        <f t="shared" si="14"/>
        <v>0.20603512243383632</v>
      </c>
      <c r="J43" s="2">
        <f t="shared" si="15"/>
        <v>0.53005194162750413</v>
      </c>
      <c r="K43" s="2">
        <f t="shared" si="16"/>
        <v>0.84813257482067772</v>
      </c>
      <c r="L43" s="2">
        <f t="shared" si="17"/>
        <v>0.71654711847637886</v>
      </c>
      <c r="M43" s="2">
        <f t="shared" si="18"/>
        <v>0</v>
      </c>
      <c r="N43" s="2">
        <f t="shared" si="19"/>
        <v>5.0270147858572312E-2</v>
      </c>
      <c r="O43" s="2">
        <f t="shared" si="20"/>
        <v>4.1131938800749078E-2</v>
      </c>
      <c r="P43" s="2">
        <f t="shared" si="21"/>
        <v>3.1773772850943245E-2</v>
      </c>
      <c r="Q43" s="2">
        <f t="shared" si="22"/>
        <v>8.0844155844155843E-2</v>
      </c>
      <c r="R43" s="2">
        <f t="shared" si="23"/>
        <v>1.6656735547410793E-2</v>
      </c>
      <c r="S43" s="2">
        <f t="shared" si="24"/>
        <v>4.2851601774431342E-2</v>
      </c>
      <c r="T43" s="2">
        <f t="shared" si="25"/>
        <v>6.8566562055308033E-2</v>
      </c>
      <c r="U43" s="2">
        <f t="shared" si="10"/>
        <v>5.7928646915785177E-2</v>
      </c>
      <c r="V43" s="2">
        <f t="shared" si="10"/>
        <v>0</v>
      </c>
    </row>
    <row r="44" spans="2:22" x14ac:dyDescent="0.35">
      <c r="B44" s="6" t="s">
        <v>159</v>
      </c>
      <c r="C44" s="4">
        <f t="shared" si="0"/>
        <v>0.86999999999999977</v>
      </c>
      <c r="D44" s="2">
        <f t="shared" si="1"/>
        <v>8.4740259740259727E-2</v>
      </c>
      <c r="E44" s="2">
        <f>(C28-M28)/O28</f>
        <v>0.55958549222797926</v>
      </c>
      <c r="F44" s="2">
        <f t="shared" ref="F44" si="27">(D28-M28)/O28</f>
        <v>0.28601036269430052</v>
      </c>
      <c r="G44" s="2">
        <f t="shared" ref="G44" si="28">(E28-M28)/O28</f>
        <v>0.772020725388601</v>
      </c>
      <c r="H44" s="2">
        <f t="shared" ref="H44" si="29">(F28-M28)/O28</f>
        <v>0.65388601036269434</v>
      </c>
      <c r="I44" s="2">
        <f t="shared" ref="I44" si="30">(G28-M28)/O28</f>
        <v>0</v>
      </c>
      <c r="J44" s="2">
        <f t="shared" ref="J44" si="31">(H28-M28)/O28</f>
        <v>0.87150259067357505</v>
      </c>
      <c r="K44" s="2">
        <f t="shared" ref="K44" si="32">(I28-M28)/O28</f>
        <v>0.64455958549222803</v>
      </c>
      <c r="L44" s="2">
        <f t="shared" ref="L44" si="33">(J28-M28)/O28</f>
        <v>0.70777202072538858</v>
      </c>
      <c r="M44" s="2">
        <f t="shared" ref="M44" si="34">(K28-M28)/O28</f>
        <v>1</v>
      </c>
      <c r="N44" s="2">
        <f t="shared" ref="N44" si="35">E44*$D44</f>
        <v>4.7419419958280057E-2</v>
      </c>
      <c r="O44" s="2">
        <f t="shared" ref="O44" si="36">F44*$D44</f>
        <v>2.4236592423120918E-2</v>
      </c>
      <c r="P44" s="2">
        <f t="shared" ref="P44" si="37">G44*$D44</f>
        <v>6.5421236794293777E-2</v>
      </c>
      <c r="Q44" s="2">
        <f t="shared" ref="Q44" si="38">H44*$D44</f>
        <v>5.5410470358656878E-2</v>
      </c>
      <c r="R44" s="2">
        <f t="shared" ref="R44" si="39">I44*$D44</f>
        <v>0</v>
      </c>
      <c r="S44" s="2">
        <f t="shared" ref="S44" si="40">J44*$D44</f>
        <v>7.3851355897988011E-2</v>
      </c>
      <c r="T44" s="2">
        <f t="shared" ref="T44" si="41">K44*$D44</f>
        <v>5.4620146692685549E-2</v>
      </c>
      <c r="U44" s="2">
        <f t="shared" ref="U44" si="42">L44*$D44</f>
        <v>5.9976784873157919E-2</v>
      </c>
      <c r="V44" s="2">
        <f t="shared" ref="V44" si="43">M44*$D44</f>
        <v>8.4740259740259727E-2</v>
      </c>
    </row>
    <row r="45" spans="2:22" x14ac:dyDescent="0.35">
      <c r="B45" s="6" t="s">
        <v>158</v>
      </c>
      <c r="C45" s="4">
        <f t="shared" si="0"/>
        <v>0.83999999999999975</v>
      </c>
      <c r="D45" s="2">
        <f t="shared" si="1"/>
        <v>8.1818181818181804E-2</v>
      </c>
      <c r="E45" s="2">
        <f t="shared" si="26"/>
        <v>0</v>
      </c>
      <c r="F45" s="2">
        <f t="shared" si="11"/>
        <v>0.36363636363636354</v>
      </c>
      <c r="G45" s="2">
        <f t="shared" si="12"/>
        <v>0.45454545454545531</v>
      </c>
      <c r="H45" s="2">
        <f t="shared" si="13"/>
        <v>1</v>
      </c>
      <c r="I45" s="2">
        <f t="shared" si="14"/>
        <v>0.54545454545454586</v>
      </c>
      <c r="J45" s="2">
        <f t="shared" si="15"/>
        <v>0.36363636363636354</v>
      </c>
      <c r="K45" s="2">
        <f t="shared" si="16"/>
        <v>0.45454545454545531</v>
      </c>
      <c r="L45" s="2">
        <f t="shared" si="17"/>
        <v>0.72727272727272707</v>
      </c>
      <c r="M45" s="2">
        <f t="shared" si="18"/>
        <v>0.81818181818181879</v>
      </c>
      <c r="N45" s="2">
        <f t="shared" si="19"/>
        <v>0</v>
      </c>
      <c r="O45" s="2">
        <f t="shared" si="20"/>
        <v>2.9752066115702466E-2</v>
      </c>
      <c r="P45" s="2">
        <f t="shared" si="21"/>
        <v>3.7190082644628156E-2</v>
      </c>
      <c r="Q45" s="2">
        <f t="shared" si="22"/>
        <v>8.1818181818181804E-2</v>
      </c>
      <c r="R45" s="2">
        <f t="shared" si="23"/>
        <v>4.4628099173553745E-2</v>
      </c>
      <c r="S45" s="2">
        <f t="shared" si="24"/>
        <v>2.9752066115702466E-2</v>
      </c>
      <c r="T45" s="2">
        <f t="shared" si="25"/>
        <v>3.7190082644628156E-2</v>
      </c>
      <c r="U45" s="2">
        <f t="shared" ref="U45:U48" si="44">L45*$D45</f>
        <v>5.9504132231404931E-2</v>
      </c>
      <c r="V45" s="2">
        <f t="shared" ref="V45:V48" si="45">M45*$D45</f>
        <v>6.6942148760330611E-2</v>
      </c>
    </row>
    <row r="46" spans="2:22" x14ac:dyDescent="0.35">
      <c r="B46" s="6" t="s">
        <v>157</v>
      </c>
      <c r="C46" s="4">
        <f t="shared" si="0"/>
        <v>0.85666666666666658</v>
      </c>
      <c r="D46" s="2">
        <f t="shared" si="1"/>
        <v>8.3441558441558442E-2</v>
      </c>
      <c r="E46" s="2">
        <f t="shared" si="26"/>
        <v>0</v>
      </c>
      <c r="F46" s="2">
        <f t="shared" si="11"/>
        <v>0.23076923076923109</v>
      </c>
      <c r="G46" s="2">
        <f t="shared" si="12"/>
        <v>0.23076923076923109</v>
      </c>
      <c r="H46" s="2">
        <f t="shared" si="13"/>
        <v>1</v>
      </c>
      <c r="I46" s="2">
        <f t="shared" si="14"/>
        <v>0.46153846153846217</v>
      </c>
      <c r="J46" s="2">
        <f t="shared" si="15"/>
        <v>0.76923076923076994</v>
      </c>
      <c r="K46" s="2">
        <f t="shared" si="16"/>
        <v>0.92307692307692335</v>
      </c>
      <c r="L46" s="2">
        <f t="shared" si="17"/>
        <v>0.53846153846153888</v>
      </c>
      <c r="M46" s="2">
        <f t="shared" si="18"/>
        <v>1</v>
      </c>
      <c r="N46" s="2">
        <f t="shared" si="19"/>
        <v>0</v>
      </c>
      <c r="O46" s="2">
        <f t="shared" si="20"/>
        <v>1.9255744255744282E-2</v>
      </c>
      <c r="P46" s="2">
        <f t="shared" si="21"/>
        <v>1.9255744255744282E-2</v>
      </c>
      <c r="Q46" s="2">
        <f t="shared" si="22"/>
        <v>8.3441558441558442E-2</v>
      </c>
      <c r="R46" s="2">
        <f t="shared" si="23"/>
        <v>3.8511488511488563E-2</v>
      </c>
      <c r="S46" s="2">
        <f t="shared" si="24"/>
        <v>6.4185814185814247E-2</v>
      </c>
      <c r="T46" s="2">
        <f t="shared" si="25"/>
        <v>7.7022977022977043E-2</v>
      </c>
      <c r="U46" s="2">
        <f t="shared" si="44"/>
        <v>4.4930069930069962E-2</v>
      </c>
      <c r="V46" s="2">
        <f t="shared" si="45"/>
        <v>8.3441558441558442E-2</v>
      </c>
    </row>
    <row r="47" spans="2:22" x14ac:dyDescent="0.35">
      <c r="B47" s="6" t="s">
        <v>156</v>
      </c>
      <c r="C47" s="4">
        <f t="shared" si="0"/>
        <v>0.82666666666666644</v>
      </c>
      <c r="D47" s="2">
        <f t="shared" si="1"/>
        <v>8.0519480519480505E-2</v>
      </c>
      <c r="E47" s="2">
        <f t="shared" si="26"/>
        <v>0.58333333333333359</v>
      </c>
      <c r="F47" s="2">
        <f t="shared" si="11"/>
        <v>0.66666666666666663</v>
      </c>
      <c r="G47" s="2">
        <f t="shared" si="12"/>
        <v>1</v>
      </c>
      <c r="H47" s="2">
        <f t="shared" si="13"/>
        <v>0</v>
      </c>
      <c r="I47" s="2">
        <f t="shared" si="14"/>
        <v>0.16666666666666721</v>
      </c>
      <c r="J47" s="2">
        <f t="shared" si="15"/>
        <v>0.66666666666666663</v>
      </c>
      <c r="K47" s="2">
        <f t="shared" si="16"/>
        <v>0.83333333333333393</v>
      </c>
      <c r="L47" s="2">
        <f t="shared" si="17"/>
        <v>0.50000000000000056</v>
      </c>
      <c r="M47" s="2">
        <f t="shared" si="18"/>
        <v>0.33333333333333331</v>
      </c>
      <c r="N47" s="2">
        <f t="shared" si="19"/>
        <v>4.6969696969696981E-2</v>
      </c>
      <c r="O47" s="2">
        <f t="shared" si="20"/>
        <v>5.3679653679653667E-2</v>
      </c>
      <c r="P47" s="2">
        <f t="shared" si="21"/>
        <v>8.0519480519480505E-2</v>
      </c>
      <c r="Q47" s="2">
        <f t="shared" si="22"/>
        <v>0</v>
      </c>
      <c r="R47" s="2">
        <f t="shared" si="23"/>
        <v>1.3419913419913462E-2</v>
      </c>
      <c r="S47" s="2">
        <f t="shared" si="24"/>
        <v>5.3679653679653667E-2</v>
      </c>
      <c r="T47" s="2">
        <f t="shared" si="25"/>
        <v>6.7099567099567131E-2</v>
      </c>
      <c r="U47" s="2">
        <f t="shared" si="44"/>
        <v>4.0259740259740294E-2</v>
      </c>
      <c r="V47" s="2">
        <f t="shared" si="45"/>
        <v>2.6839826839826834E-2</v>
      </c>
    </row>
    <row r="48" spans="2:22" x14ac:dyDescent="0.35">
      <c r="B48" s="8" t="s">
        <v>155</v>
      </c>
      <c r="C48" s="4">
        <f t="shared" si="0"/>
        <v>0.93333333333333313</v>
      </c>
      <c r="D48" s="2">
        <f t="shared" si="1"/>
        <v>9.0909090909090898E-2</v>
      </c>
      <c r="E48" s="2">
        <f t="shared" si="26"/>
        <v>0.60000000000000031</v>
      </c>
      <c r="F48" s="2">
        <f t="shared" si="11"/>
        <v>0.69999999999999984</v>
      </c>
      <c r="G48" s="2">
        <f t="shared" si="12"/>
        <v>0.60000000000000031</v>
      </c>
      <c r="H48" s="2">
        <f t="shared" si="13"/>
        <v>0.49999999999999933</v>
      </c>
      <c r="I48" s="2">
        <f t="shared" si="14"/>
        <v>0</v>
      </c>
      <c r="J48" s="2">
        <f t="shared" si="15"/>
        <v>0.60000000000000031</v>
      </c>
      <c r="K48" s="2">
        <f t="shared" si="16"/>
        <v>1</v>
      </c>
      <c r="L48" s="2">
        <f t="shared" si="17"/>
        <v>0.49999999999999933</v>
      </c>
      <c r="M48" s="2">
        <f t="shared" si="18"/>
        <v>0.79999999999999949</v>
      </c>
      <c r="N48" s="2">
        <f t="shared" si="19"/>
        <v>5.4545454545454564E-2</v>
      </c>
      <c r="O48" s="2">
        <f t="shared" si="20"/>
        <v>6.3636363636363616E-2</v>
      </c>
      <c r="P48" s="2">
        <f t="shared" si="21"/>
        <v>5.4545454545454564E-2</v>
      </c>
      <c r="Q48" s="2">
        <f t="shared" si="22"/>
        <v>4.5454545454545386E-2</v>
      </c>
      <c r="R48" s="2">
        <f t="shared" si="23"/>
        <v>0</v>
      </c>
      <c r="S48" s="2">
        <f t="shared" si="24"/>
        <v>5.4545454545454564E-2</v>
      </c>
      <c r="T48" s="2">
        <f t="shared" si="25"/>
        <v>9.0909090909090898E-2</v>
      </c>
      <c r="U48" s="2">
        <f t="shared" si="44"/>
        <v>4.5454545454545386E-2</v>
      </c>
      <c r="V48" s="2">
        <f t="shared" si="45"/>
        <v>7.2727272727272668E-2</v>
      </c>
    </row>
    <row r="49" spans="2:22" x14ac:dyDescent="0.35">
      <c r="C49" s="4">
        <f>SUM(C37:C48)</f>
        <v>10.266666666666666</v>
      </c>
      <c r="N49" s="2">
        <f>SUM(N37:N48)</f>
        <v>0.47540552340998299</v>
      </c>
      <c r="O49" s="2">
        <f t="shared" ref="O49:T49" si="46">SUM(O37:O48)</f>
        <v>0.55034741236051765</v>
      </c>
      <c r="P49" s="2">
        <f t="shared" si="46"/>
        <v>0.43165941251231599</v>
      </c>
      <c r="Q49" s="2">
        <f t="shared" si="46"/>
        <v>0.65594184507341202</v>
      </c>
      <c r="R49" s="2">
        <f t="shared" si="46"/>
        <v>0.39877224647133247</v>
      </c>
      <c r="S49" s="2">
        <f t="shared" si="46"/>
        <v>0.53803566846519191</v>
      </c>
      <c r="T49" s="2">
        <f t="shared" si="46"/>
        <v>0.68278590391899496</v>
      </c>
      <c r="U49" s="2">
        <f t="shared" ref="U49:V49" si="47">SUM(U37:U48)</f>
        <v>0.61172179512982328</v>
      </c>
      <c r="V49" s="2">
        <f t="shared" si="47"/>
        <v>0.40431156895761955</v>
      </c>
    </row>
    <row r="53" spans="2:22" ht="15" thickBot="1" x14ac:dyDescent="0.4"/>
    <row r="54" spans="2:22" ht="15.5" thickBot="1" x14ac:dyDescent="0.4">
      <c r="B54" s="19" t="s">
        <v>41</v>
      </c>
      <c r="C54" s="19" t="s">
        <v>207</v>
      </c>
      <c r="D54" s="19" t="s">
        <v>222</v>
      </c>
      <c r="E54" s="19" t="s">
        <v>223</v>
      </c>
      <c r="F54" s="19" t="s">
        <v>208</v>
      </c>
      <c r="G54" s="19" t="s">
        <v>209</v>
      </c>
      <c r="H54" s="19" t="s">
        <v>210</v>
      </c>
      <c r="I54" s="19" t="s">
        <v>211</v>
      </c>
      <c r="J54" s="25" t="s">
        <v>224</v>
      </c>
    </row>
    <row r="55" spans="2:22" x14ac:dyDescent="0.35">
      <c r="B55" s="10" t="s">
        <v>45</v>
      </c>
      <c r="C55" s="78">
        <v>1.2666666666666668</v>
      </c>
      <c r="D55" s="78">
        <v>41.833333333333336</v>
      </c>
      <c r="E55" s="78">
        <v>1.452</v>
      </c>
      <c r="F55" s="78">
        <v>4.8666666666666663</v>
      </c>
      <c r="G55" s="78">
        <v>32.026666666666664</v>
      </c>
      <c r="H55" s="78">
        <v>8.2866666666666671</v>
      </c>
      <c r="I55" s="78">
        <v>22.319999999999997</v>
      </c>
      <c r="J55">
        <v>1.8</v>
      </c>
      <c r="K55">
        <v>2.6</v>
      </c>
      <c r="L55">
        <v>1.6</v>
      </c>
      <c r="M55">
        <v>1.5</v>
      </c>
      <c r="N55">
        <v>3.6</v>
      </c>
      <c r="O55">
        <v>0.7</v>
      </c>
      <c r="P55">
        <v>1.5</v>
      </c>
      <c r="Q55">
        <v>1.3</v>
      </c>
      <c r="R55">
        <v>0.4</v>
      </c>
    </row>
    <row r="56" spans="2:22" x14ac:dyDescent="0.35">
      <c r="B56" s="10" t="s">
        <v>46</v>
      </c>
      <c r="C56" s="78">
        <v>1.0666666666666667</v>
      </c>
      <c r="D56" s="78">
        <v>40.666666666666664</v>
      </c>
      <c r="E56" s="78">
        <v>1.331</v>
      </c>
      <c r="F56" s="78">
        <v>4.5333333333333332</v>
      </c>
      <c r="G56" s="78">
        <v>30.013333333333335</v>
      </c>
      <c r="H56" s="78">
        <v>6.4766666666666666</v>
      </c>
      <c r="I56" s="78">
        <v>23.843333333333334</v>
      </c>
      <c r="J56" s="4">
        <v>2.6</v>
      </c>
    </row>
    <row r="57" spans="2:22" x14ac:dyDescent="0.35">
      <c r="B57" s="10" t="s">
        <v>47</v>
      </c>
      <c r="C57" s="78">
        <v>0.9</v>
      </c>
      <c r="D57" s="78">
        <v>38.666666666666664</v>
      </c>
      <c r="E57" s="78">
        <v>1.1495</v>
      </c>
      <c r="F57" s="78">
        <v>4.7</v>
      </c>
      <c r="G57" s="78">
        <v>33.926666666666669</v>
      </c>
      <c r="H57" s="78">
        <v>10.793333333333331</v>
      </c>
      <c r="I57" s="78">
        <v>25.403333333333336</v>
      </c>
      <c r="J57" s="4">
        <v>1.6</v>
      </c>
    </row>
    <row r="58" spans="2:22" x14ac:dyDescent="0.35">
      <c r="B58" s="10" t="s">
        <v>48</v>
      </c>
      <c r="C58" s="78">
        <v>0.73333333333333339</v>
      </c>
      <c r="D58" s="78">
        <v>42</v>
      </c>
      <c r="E58" s="78">
        <v>1.5427499999999998</v>
      </c>
      <c r="F58" s="78">
        <v>4.7666666666666666</v>
      </c>
      <c r="G58" s="78">
        <v>30.533333333333331</v>
      </c>
      <c r="H58" s="78">
        <v>2.9966666666666666</v>
      </c>
      <c r="I58" s="78">
        <v>17.223333333333333</v>
      </c>
      <c r="J58" s="4">
        <v>1.5</v>
      </c>
    </row>
    <row r="59" spans="2:22" x14ac:dyDescent="0.35">
      <c r="B59" s="10" t="s">
        <v>49</v>
      </c>
      <c r="C59" s="78">
        <v>0.6333333333333333</v>
      </c>
      <c r="D59" s="78">
        <v>40.333333333333336</v>
      </c>
      <c r="E59" s="78">
        <v>2.9947499999999998</v>
      </c>
      <c r="F59" s="78">
        <v>4.4666666666666668</v>
      </c>
      <c r="G59" s="78">
        <v>32.883333333333333</v>
      </c>
      <c r="H59" s="78">
        <v>13.406666666666666</v>
      </c>
      <c r="I59" s="78">
        <v>27.923333333333332</v>
      </c>
      <c r="J59" s="4">
        <v>3.6</v>
      </c>
    </row>
    <row r="60" spans="2:22" x14ac:dyDescent="0.35">
      <c r="B60" s="10" t="s">
        <v>50</v>
      </c>
      <c r="C60" s="78">
        <v>0.46666666666666662</v>
      </c>
      <c r="D60" s="78">
        <v>39.666666666666664</v>
      </c>
      <c r="E60" s="78">
        <v>1.5124999999999997</v>
      </c>
      <c r="F60" s="78">
        <v>4.3666666666666663</v>
      </c>
      <c r="G60" s="78">
        <v>32.813333333333333</v>
      </c>
      <c r="H60" s="78">
        <v>10.746666666666668</v>
      </c>
      <c r="I60" s="78">
        <v>23.556666666666668</v>
      </c>
      <c r="J60" s="4">
        <v>0.7</v>
      </c>
    </row>
    <row r="61" spans="2:22" x14ac:dyDescent="0.35">
      <c r="B61" s="10" t="s">
        <v>51</v>
      </c>
      <c r="C61" s="78">
        <v>0.66666666666666663</v>
      </c>
      <c r="D61" s="78">
        <v>41.666666666666664</v>
      </c>
      <c r="E61" s="78">
        <v>1.4217499999999998</v>
      </c>
      <c r="F61" s="78">
        <v>4.6666666666666661</v>
      </c>
      <c r="G61" s="78">
        <v>30.836666666666662</v>
      </c>
      <c r="H61" s="78">
        <v>5.4266666666666667</v>
      </c>
      <c r="I61" s="78">
        <v>19.27</v>
      </c>
      <c r="J61" s="4">
        <v>1.5</v>
      </c>
    </row>
    <row r="62" spans="2:22" x14ac:dyDescent="0.35">
      <c r="B62" s="10" t="s">
        <v>52</v>
      </c>
      <c r="C62" s="78">
        <v>0.46666666666666662</v>
      </c>
      <c r="D62" s="78">
        <v>41.166666666666664</v>
      </c>
      <c r="E62" s="78">
        <v>1.9057500000000001</v>
      </c>
      <c r="F62" s="78">
        <v>4.5999999999999996</v>
      </c>
      <c r="G62" s="78">
        <v>30.386666666666667</v>
      </c>
      <c r="H62" s="78">
        <v>4.626666666666666</v>
      </c>
      <c r="I62" s="78">
        <v>21.043333333333333</v>
      </c>
      <c r="J62" s="4">
        <v>1.3</v>
      </c>
    </row>
    <row r="63" spans="2:22" x14ac:dyDescent="0.35">
      <c r="B63" s="10" t="s">
        <v>53</v>
      </c>
      <c r="C63" s="78">
        <v>0.33333333333333331</v>
      </c>
      <c r="D63" s="78">
        <v>41</v>
      </c>
      <c r="E63" s="78">
        <v>1.4217499999999998</v>
      </c>
      <c r="F63" s="78">
        <v>4.8666666666666663</v>
      </c>
      <c r="G63" s="78">
        <v>36.56</v>
      </c>
      <c r="H63" s="78">
        <v>16.203333333333333</v>
      </c>
      <c r="I63" s="78">
        <v>30.7</v>
      </c>
      <c r="J63" s="4">
        <v>0.4</v>
      </c>
    </row>
    <row r="65" spans="2:6" ht="15" thickBot="1" x14ac:dyDescent="0.4"/>
    <row r="66" spans="2:6" ht="15" thickBot="1" x14ac:dyDescent="0.4">
      <c r="B66" s="19" t="s">
        <v>41</v>
      </c>
      <c r="C66" s="22" t="s">
        <v>212</v>
      </c>
      <c r="D66" s="22" t="s">
        <v>213</v>
      </c>
      <c r="E66" s="22" t="s">
        <v>214</v>
      </c>
      <c r="F66" s="22" t="s">
        <v>215</v>
      </c>
    </row>
    <row r="67" spans="2:6" x14ac:dyDescent="0.35">
      <c r="B67" s="10" t="s">
        <v>45</v>
      </c>
      <c r="C67" s="23">
        <f>Warna!T37</f>
        <v>3.5333333333333332</v>
      </c>
      <c r="D67" s="23">
        <f>Aroma!T36</f>
        <v>3.3666666666666667</v>
      </c>
      <c r="E67" s="23">
        <f>Rasa!U36</f>
        <v>3.6333333333333333</v>
      </c>
      <c r="F67" s="23">
        <f>Tekstur!U36</f>
        <v>3.7</v>
      </c>
    </row>
    <row r="68" spans="2:6" x14ac:dyDescent="0.35">
      <c r="B68" s="10" t="s">
        <v>46</v>
      </c>
      <c r="C68" s="23">
        <f>Warna!T38</f>
        <v>3.6666666666666665</v>
      </c>
      <c r="D68" s="23">
        <f>Aroma!T37</f>
        <v>3.4666666666666668</v>
      </c>
      <c r="E68" s="23">
        <f>Rasa!U37</f>
        <v>3.6666666666666665</v>
      </c>
      <c r="F68" s="23">
        <f>Tekstur!U37</f>
        <v>3.7333333333333334</v>
      </c>
    </row>
    <row r="69" spans="2:6" x14ac:dyDescent="0.35">
      <c r="B69" s="10" t="s">
        <v>47</v>
      </c>
      <c r="C69" s="23">
        <f>Warna!T39</f>
        <v>3.7</v>
      </c>
      <c r="D69" s="23">
        <f>Aroma!T38</f>
        <v>3.4666666666666668</v>
      </c>
      <c r="E69" s="23">
        <f>Rasa!U38</f>
        <v>3.8</v>
      </c>
      <c r="F69" s="23">
        <f>Tekstur!U38</f>
        <v>3.7</v>
      </c>
    </row>
    <row r="70" spans="2:6" x14ac:dyDescent="0.35">
      <c r="B70" s="10" t="s">
        <v>48</v>
      </c>
      <c r="C70" s="23">
        <f>Warna!T40</f>
        <v>3.9</v>
      </c>
      <c r="D70" s="23">
        <f>Aroma!T39</f>
        <v>3.8</v>
      </c>
      <c r="E70" s="23">
        <f>Rasa!U39</f>
        <v>3.4</v>
      </c>
      <c r="F70" s="23">
        <f>Tekstur!U39</f>
        <v>3.6666666666666665</v>
      </c>
    </row>
    <row r="71" spans="2:6" x14ac:dyDescent="0.35">
      <c r="B71" s="10" t="s">
        <v>49</v>
      </c>
      <c r="C71" s="23">
        <f>Warna!T41</f>
        <v>3.7333333333333334</v>
      </c>
      <c r="D71" s="23">
        <f>Aroma!T40</f>
        <v>3.5666666666666669</v>
      </c>
      <c r="E71" s="23">
        <f>Rasa!U40</f>
        <v>3.4666666666666668</v>
      </c>
      <c r="F71" s="23">
        <f>Tekstur!U40</f>
        <v>3.5</v>
      </c>
    </row>
    <row r="72" spans="2:6" x14ac:dyDescent="0.35">
      <c r="B72" s="10" t="s">
        <v>50</v>
      </c>
      <c r="C72" s="23">
        <f>Warna!T42</f>
        <v>3.6666666666666665</v>
      </c>
      <c r="D72" s="23">
        <f>Aroma!T41</f>
        <v>3.7</v>
      </c>
      <c r="E72" s="23">
        <f>Rasa!U41</f>
        <v>3.6666666666666665</v>
      </c>
      <c r="F72" s="23">
        <f>Tekstur!U41</f>
        <v>3.7</v>
      </c>
    </row>
    <row r="73" spans="2:6" x14ac:dyDescent="0.35">
      <c r="B73" s="10" t="s">
        <v>51</v>
      </c>
      <c r="C73" s="23">
        <f>Warna!T43</f>
        <v>3.7</v>
      </c>
      <c r="D73" s="23">
        <f>Aroma!T42</f>
        <v>3.7666666666666666</v>
      </c>
      <c r="E73" s="23">
        <f>Rasa!U42</f>
        <v>3.7333333333333334</v>
      </c>
      <c r="F73" s="23">
        <f>Tekstur!U42</f>
        <v>3.8333333333333335</v>
      </c>
    </row>
    <row r="74" spans="2:6" x14ac:dyDescent="0.35">
      <c r="B74" s="10" t="s">
        <v>52</v>
      </c>
      <c r="C74" s="23">
        <f>Warna!T44</f>
        <v>3.8</v>
      </c>
      <c r="D74" s="23">
        <f>Aroma!T43</f>
        <v>3.6</v>
      </c>
      <c r="E74" s="23">
        <f>Rasa!U43</f>
        <v>3.6</v>
      </c>
      <c r="F74" s="23">
        <f>Tekstur!U43</f>
        <v>3.6666666666666665</v>
      </c>
    </row>
    <row r="75" spans="2:6" x14ac:dyDescent="0.35">
      <c r="B75" s="10" t="s">
        <v>53</v>
      </c>
      <c r="C75" s="23">
        <f>Warna!T45</f>
        <v>3.8333333333333335</v>
      </c>
      <c r="D75" s="23">
        <f>Aroma!T44</f>
        <v>3.8</v>
      </c>
      <c r="E75" s="23">
        <f>Rasa!U44</f>
        <v>3.5333333333333332</v>
      </c>
      <c r="F75" s="23">
        <f>Tekstur!U44</f>
        <v>3.7666666666666666</v>
      </c>
    </row>
    <row r="77" spans="2:6" x14ac:dyDescent="0.35">
      <c r="B77" s="24"/>
      <c r="C77" s="24"/>
      <c r="D77" s="24" t="s">
        <v>69</v>
      </c>
      <c r="E77" s="24" t="s">
        <v>70</v>
      </c>
      <c r="F77" s="24" t="s">
        <v>71</v>
      </c>
    </row>
    <row r="78" spans="2:6" x14ac:dyDescent="0.35">
      <c r="B78" s="24"/>
      <c r="C78" s="24"/>
      <c r="D78" s="24">
        <v>60</v>
      </c>
      <c r="E78" s="24">
        <v>70</v>
      </c>
      <c r="F78" s="24">
        <v>80</v>
      </c>
    </row>
    <row r="79" spans="2:6" x14ac:dyDescent="0.35">
      <c r="B79" s="24" t="s">
        <v>65</v>
      </c>
      <c r="C79" s="24">
        <v>10</v>
      </c>
      <c r="D79" s="20" t="s">
        <v>45</v>
      </c>
      <c r="E79" s="20" t="s">
        <v>46</v>
      </c>
      <c r="F79" s="20" t="s">
        <v>47</v>
      </c>
    </row>
    <row r="80" spans="2:6" x14ac:dyDescent="0.35">
      <c r="B80" s="24" t="s">
        <v>66</v>
      </c>
      <c r="C80" s="24">
        <v>15</v>
      </c>
      <c r="D80" s="20" t="s">
        <v>48</v>
      </c>
      <c r="E80" s="20" t="s">
        <v>49</v>
      </c>
      <c r="F80" s="20" t="s">
        <v>50</v>
      </c>
    </row>
    <row r="81" spans="2:6" ht="15" thickBot="1" x14ac:dyDescent="0.4">
      <c r="B81" s="24" t="s">
        <v>67</v>
      </c>
      <c r="C81" s="24">
        <v>20</v>
      </c>
      <c r="D81" s="20" t="s">
        <v>51</v>
      </c>
      <c r="E81" s="20" t="s">
        <v>52</v>
      </c>
      <c r="F81" s="21" t="s">
        <v>53</v>
      </c>
    </row>
    <row r="90" spans="2:6" x14ac:dyDescent="0.35">
      <c r="F90" t="s">
        <v>45</v>
      </c>
    </row>
    <row r="91" spans="2:6" x14ac:dyDescent="0.35">
      <c r="F91" t="s">
        <v>46</v>
      </c>
    </row>
    <row r="92" spans="2:6" x14ac:dyDescent="0.35">
      <c r="F92" t="s">
        <v>47</v>
      </c>
    </row>
    <row r="93" spans="2:6" x14ac:dyDescent="0.35">
      <c r="F93" t="s">
        <v>48</v>
      </c>
    </row>
    <row r="94" spans="2:6" x14ac:dyDescent="0.35">
      <c r="F94" t="s">
        <v>49</v>
      </c>
    </row>
    <row r="95" spans="2:6" x14ac:dyDescent="0.35">
      <c r="F95" t="s">
        <v>50</v>
      </c>
    </row>
    <row r="96" spans="2:6" x14ac:dyDescent="0.35">
      <c r="F96" t="s">
        <v>51</v>
      </c>
    </row>
    <row r="97" spans="6:6" x14ac:dyDescent="0.35">
      <c r="F97" t="s">
        <v>52</v>
      </c>
    </row>
    <row r="98" spans="6:6" x14ac:dyDescent="0.35">
      <c r="F98" t="s">
        <v>53</v>
      </c>
    </row>
  </sheetData>
  <conditionalFormatting sqref="C67:C75"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67:D75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E67:E75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67:F75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N49:V49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95EBE-B9BE-4E93-8F9A-4BD2AE546772}">
  <dimension ref="A1:AI46"/>
  <sheetViews>
    <sheetView topLeftCell="H21" zoomScale="70" zoomScaleNormal="70" workbookViewId="0">
      <selection activeCell="Z41" sqref="Z41"/>
    </sheetView>
  </sheetViews>
  <sheetFormatPr defaultRowHeight="14.5" x14ac:dyDescent="0.35"/>
  <cols>
    <col min="1" max="1" width="10.26953125" customWidth="1"/>
    <col min="11" max="11" width="10.26953125" customWidth="1"/>
  </cols>
  <sheetData>
    <row r="1" spans="1:35" x14ac:dyDescent="0.35">
      <c r="A1" t="s">
        <v>154</v>
      </c>
      <c r="B1" t="s">
        <v>153</v>
      </c>
      <c r="C1" t="s">
        <v>152</v>
      </c>
      <c r="D1" t="s">
        <v>151</v>
      </c>
      <c r="E1" t="s">
        <v>150</v>
      </c>
      <c r="F1" t="s">
        <v>149</v>
      </c>
      <c r="G1" t="s">
        <v>148</v>
      </c>
      <c r="H1" t="s">
        <v>147</v>
      </c>
      <c r="I1" t="s">
        <v>146</v>
      </c>
      <c r="J1" t="s">
        <v>145</v>
      </c>
      <c r="K1" t="s">
        <v>54</v>
      </c>
      <c r="L1" t="s">
        <v>93</v>
      </c>
      <c r="N1" t="s">
        <v>154</v>
      </c>
      <c r="O1" t="s">
        <v>153</v>
      </c>
      <c r="P1" t="s">
        <v>152</v>
      </c>
      <c r="Q1" t="s">
        <v>151</v>
      </c>
      <c r="R1" t="s">
        <v>150</v>
      </c>
      <c r="S1" t="s">
        <v>149</v>
      </c>
      <c r="T1" t="s">
        <v>148</v>
      </c>
      <c r="U1" t="s">
        <v>147</v>
      </c>
      <c r="V1" t="s">
        <v>146</v>
      </c>
      <c r="W1" t="s">
        <v>145</v>
      </c>
      <c r="X1" t="s">
        <v>54</v>
      </c>
      <c r="Y1" t="s">
        <v>93</v>
      </c>
    </row>
    <row r="2" spans="1:35" x14ac:dyDescent="0.35">
      <c r="A2" t="s">
        <v>144</v>
      </c>
      <c r="B2">
        <v>3</v>
      </c>
      <c r="C2">
        <v>3</v>
      </c>
      <c r="D2">
        <v>3</v>
      </c>
      <c r="E2">
        <v>3</v>
      </c>
      <c r="F2">
        <v>4</v>
      </c>
      <c r="G2">
        <v>4</v>
      </c>
      <c r="H2">
        <v>3</v>
      </c>
      <c r="I2">
        <v>4</v>
      </c>
      <c r="J2">
        <v>4</v>
      </c>
      <c r="K2">
        <f>SUM(Table163[[#This Row],[912]:[112]])</f>
        <v>31</v>
      </c>
      <c r="L2">
        <f>AVERAGE(Table163[[#This Row],[112]])</f>
        <v>4</v>
      </c>
      <c r="N2" t="s">
        <v>144</v>
      </c>
      <c r="O2">
        <v>3</v>
      </c>
      <c r="P2">
        <v>3</v>
      </c>
      <c r="Q2">
        <v>3</v>
      </c>
      <c r="R2">
        <v>3</v>
      </c>
      <c r="S2">
        <v>7.5</v>
      </c>
      <c r="T2">
        <v>7.5</v>
      </c>
      <c r="U2">
        <v>3</v>
      </c>
      <c r="V2">
        <v>7.5</v>
      </c>
      <c r="W2">
        <v>7.5</v>
      </c>
      <c r="X2">
        <f>SUM(Table1104[[#This Row],[912]:[112]])</f>
        <v>45</v>
      </c>
      <c r="Y2">
        <f>AVERAGE(Table1104[[#This Row],[912]:[112]])</f>
        <v>5</v>
      </c>
    </row>
    <row r="3" spans="1:35" x14ac:dyDescent="0.35">
      <c r="A3" t="s">
        <v>143</v>
      </c>
      <c r="B3">
        <v>4</v>
      </c>
      <c r="C3">
        <v>4</v>
      </c>
      <c r="D3">
        <v>3</v>
      </c>
      <c r="E3">
        <v>3</v>
      </c>
      <c r="F3">
        <v>4</v>
      </c>
      <c r="G3">
        <v>3</v>
      </c>
      <c r="H3">
        <v>3</v>
      </c>
      <c r="I3">
        <v>4</v>
      </c>
      <c r="J3">
        <v>3</v>
      </c>
      <c r="K3">
        <f>SUM(Table163[[#This Row],[912]:[112]])</f>
        <v>31</v>
      </c>
      <c r="L3">
        <f>AVERAGE(Table163[[#This Row],[112]])</f>
        <v>3</v>
      </c>
      <c r="N3" t="s">
        <v>143</v>
      </c>
      <c r="O3">
        <v>7.5</v>
      </c>
      <c r="P3">
        <v>7.5</v>
      </c>
      <c r="Q3">
        <v>3</v>
      </c>
      <c r="R3">
        <v>3</v>
      </c>
      <c r="S3">
        <v>7.5</v>
      </c>
      <c r="T3">
        <v>3</v>
      </c>
      <c r="U3">
        <v>3</v>
      </c>
      <c r="V3">
        <v>7.5</v>
      </c>
      <c r="W3">
        <v>3</v>
      </c>
      <c r="X3">
        <f>SUM(Table1104[[#This Row],[912]:[112]])</f>
        <v>45</v>
      </c>
      <c r="Y3">
        <f>AVERAGE(Table1104[[#This Row],[912]:[112]])</f>
        <v>5</v>
      </c>
    </row>
    <row r="4" spans="1:35" x14ac:dyDescent="0.35">
      <c r="A4" t="s">
        <v>142</v>
      </c>
      <c r="B4">
        <v>4</v>
      </c>
      <c r="C4">
        <v>5</v>
      </c>
      <c r="D4">
        <v>3</v>
      </c>
      <c r="E4">
        <v>2</v>
      </c>
      <c r="F4">
        <v>3</v>
      </c>
      <c r="G4">
        <v>4</v>
      </c>
      <c r="H4">
        <v>3</v>
      </c>
      <c r="I4">
        <v>3</v>
      </c>
      <c r="J4">
        <v>4</v>
      </c>
      <c r="K4">
        <f>SUM(Table163[[#This Row],[912]:[112]])</f>
        <v>31</v>
      </c>
      <c r="L4">
        <f>AVERAGE(Table163[[#This Row],[112]])</f>
        <v>4</v>
      </c>
      <c r="N4" t="s">
        <v>142</v>
      </c>
      <c r="O4">
        <v>7</v>
      </c>
      <c r="P4">
        <v>9</v>
      </c>
      <c r="Q4">
        <v>3.5</v>
      </c>
      <c r="R4">
        <v>1</v>
      </c>
      <c r="S4">
        <v>3.5</v>
      </c>
      <c r="T4">
        <v>7</v>
      </c>
      <c r="U4">
        <v>3.5</v>
      </c>
      <c r="V4">
        <v>3.5</v>
      </c>
      <c r="W4">
        <v>7</v>
      </c>
      <c r="X4">
        <f>SUM(Table1104[[#This Row],[912]:[112]])</f>
        <v>45</v>
      </c>
      <c r="Y4" s="5">
        <f>AVERAGE(Table1104[[#This Row],[912]:[112]])</f>
        <v>5</v>
      </c>
    </row>
    <row r="5" spans="1:35" x14ac:dyDescent="0.35">
      <c r="A5" t="s">
        <v>141</v>
      </c>
      <c r="B5">
        <v>3</v>
      </c>
      <c r="C5">
        <v>4</v>
      </c>
      <c r="D5">
        <v>3</v>
      </c>
      <c r="E5">
        <v>3</v>
      </c>
      <c r="F5">
        <v>3</v>
      </c>
      <c r="G5">
        <v>4</v>
      </c>
      <c r="H5">
        <v>4</v>
      </c>
      <c r="I5">
        <v>3</v>
      </c>
      <c r="J5">
        <v>3</v>
      </c>
      <c r="K5">
        <f>SUM(Table163[[#This Row],[912]:[112]])</f>
        <v>30</v>
      </c>
      <c r="L5">
        <f>AVERAGE(Table163[[#This Row],[112]])</f>
        <v>3</v>
      </c>
      <c r="N5" t="s">
        <v>141</v>
      </c>
      <c r="O5">
        <v>3.5</v>
      </c>
      <c r="P5">
        <v>8</v>
      </c>
      <c r="Q5">
        <v>3.5</v>
      </c>
      <c r="R5">
        <v>3.5</v>
      </c>
      <c r="S5">
        <v>3.5</v>
      </c>
      <c r="T5">
        <v>8</v>
      </c>
      <c r="U5">
        <v>8</v>
      </c>
      <c r="V5">
        <v>3.5</v>
      </c>
      <c r="W5">
        <v>3.5</v>
      </c>
      <c r="X5">
        <f>SUM(Table1104[[#This Row],[912]:[112]])</f>
        <v>45</v>
      </c>
      <c r="Y5">
        <f>AVERAGE(Table1104[[#This Row],[912]:[112]])</f>
        <v>5</v>
      </c>
      <c r="AA5" s="99"/>
      <c r="AB5" s="99"/>
      <c r="AC5" s="99"/>
      <c r="AD5" s="99"/>
      <c r="AE5" s="99"/>
      <c r="AF5" s="99"/>
      <c r="AG5" s="99"/>
      <c r="AH5" s="99"/>
      <c r="AI5" s="100"/>
    </row>
    <row r="6" spans="1:35" x14ac:dyDescent="0.35">
      <c r="A6" t="s">
        <v>140</v>
      </c>
      <c r="B6">
        <v>3</v>
      </c>
      <c r="C6">
        <v>5</v>
      </c>
      <c r="D6">
        <v>3</v>
      </c>
      <c r="E6">
        <v>5</v>
      </c>
      <c r="F6">
        <v>4</v>
      </c>
      <c r="G6">
        <v>5</v>
      </c>
      <c r="H6">
        <v>4</v>
      </c>
      <c r="I6">
        <v>4</v>
      </c>
      <c r="J6">
        <v>3</v>
      </c>
      <c r="K6">
        <f>SUM(Table163[[#This Row],[912]:[112]])</f>
        <v>36</v>
      </c>
      <c r="L6">
        <f>AVERAGE(Table163[[#This Row],[112]])</f>
        <v>3</v>
      </c>
      <c r="N6" t="s">
        <v>140</v>
      </c>
      <c r="O6">
        <v>2</v>
      </c>
      <c r="P6">
        <v>8</v>
      </c>
      <c r="Q6">
        <v>2</v>
      </c>
      <c r="R6">
        <v>8</v>
      </c>
      <c r="S6">
        <v>5</v>
      </c>
      <c r="T6">
        <v>8</v>
      </c>
      <c r="U6">
        <v>5</v>
      </c>
      <c r="V6">
        <v>5</v>
      </c>
      <c r="W6">
        <v>2</v>
      </c>
      <c r="X6">
        <f>SUM(Table1104[[#This Row],[912]:[112]])</f>
        <v>45</v>
      </c>
      <c r="Y6">
        <f>AVERAGE(Table1104[[#This Row],[912]:[112]])</f>
        <v>5</v>
      </c>
    </row>
    <row r="7" spans="1:35" x14ac:dyDescent="0.35">
      <c r="A7" t="s">
        <v>139</v>
      </c>
      <c r="B7">
        <v>4</v>
      </c>
      <c r="C7">
        <v>5</v>
      </c>
      <c r="D7">
        <v>5</v>
      </c>
      <c r="E7">
        <v>3</v>
      </c>
      <c r="F7">
        <v>4</v>
      </c>
      <c r="G7">
        <v>3</v>
      </c>
      <c r="H7">
        <v>5</v>
      </c>
      <c r="I7">
        <v>3</v>
      </c>
      <c r="J7">
        <v>5</v>
      </c>
      <c r="K7">
        <f>SUM(Table163[[#This Row],[912]:[112]])</f>
        <v>37</v>
      </c>
      <c r="L7">
        <f>AVERAGE(Table163[[#This Row],[112]])</f>
        <v>5</v>
      </c>
      <c r="N7" t="s">
        <v>139</v>
      </c>
      <c r="O7">
        <v>4.5</v>
      </c>
      <c r="P7">
        <v>7.5</v>
      </c>
      <c r="Q7">
        <v>7.5</v>
      </c>
      <c r="R7">
        <v>2</v>
      </c>
      <c r="S7">
        <v>4.5</v>
      </c>
      <c r="T7">
        <v>2</v>
      </c>
      <c r="U7">
        <v>7.5</v>
      </c>
      <c r="V7">
        <v>2</v>
      </c>
      <c r="W7">
        <v>7.5</v>
      </c>
      <c r="X7">
        <f>SUM(Table1104[[#This Row],[912]:[112]])</f>
        <v>45</v>
      </c>
      <c r="Y7">
        <f>AVERAGE(Table1104[[#This Row],[912]:[112]])</f>
        <v>5</v>
      </c>
    </row>
    <row r="8" spans="1:35" x14ac:dyDescent="0.35">
      <c r="A8" t="s">
        <v>138</v>
      </c>
      <c r="B8" s="16">
        <v>3</v>
      </c>
      <c r="C8" s="16">
        <v>2</v>
      </c>
      <c r="D8" s="16">
        <v>3</v>
      </c>
      <c r="E8" s="16">
        <v>4</v>
      </c>
      <c r="F8" s="16">
        <v>2</v>
      </c>
      <c r="G8" s="16">
        <v>3</v>
      </c>
      <c r="H8" s="16">
        <v>3</v>
      </c>
      <c r="I8" s="16">
        <v>4</v>
      </c>
      <c r="J8" s="16">
        <v>2</v>
      </c>
      <c r="K8">
        <f>SUM(Table163[[#This Row],[912]:[112]])</f>
        <v>26</v>
      </c>
      <c r="L8">
        <f>AVERAGE(Table163[[#This Row],[112]])</f>
        <v>2</v>
      </c>
      <c r="N8" t="s">
        <v>138</v>
      </c>
      <c r="O8">
        <v>5.5</v>
      </c>
      <c r="P8">
        <v>2</v>
      </c>
      <c r="Q8">
        <v>5.5</v>
      </c>
      <c r="R8">
        <v>8.5</v>
      </c>
      <c r="S8">
        <v>2</v>
      </c>
      <c r="T8">
        <v>5.5</v>
      </c>
      <c r="U8">
        <v>5.5</v>
      </c>
      <c r="V8">
        <v>8.5</v>
      </c>
      <c r="W8">
        <v>2</v>
      </c>
      <c r="X8">
        <f>SUM(Table1104[[#This Row],[912]:[112]])</f>
        <v>45</v>
      </c>
      <c r="Y8">
        <f>AVERAGE(Table1104[[#This Row],[912]:[112]])</f>
        <v>5</v>
      </c>
    </row>
    <row r="9" spans="1:35" x14ac:dyDescent="0.35">
      <c r="A9" t="s">
        <v>137</v>
      </c>
      <c r="B9">
        <v>4</v>
      </c>
      <c r="C9">
        <v>4</v>
      </c>
      <c r="D9">
        <v>4</v>
      </c>
      <c r="E9">
        <v>4</v>
      </c>
      <c r="F9">
        <v>4</v>
      </c>
      <c r="G9">
        <v>4</v>
      </c>
      <c r="H9">
        <v>4</v>
      </c>
      <c r="I9">
        <v>4</v>
      </c>
      <c r="J9">
        <v>4</v>
      </c>
      <c r="K9">
        <f>SUM(Table163[[#This Row],[912]:[112]])</f>
        <v>36</v>
      </c>
      <c r="L9">
        <f>AVERAGE(Table163[[#This Row],[112]])</f>
        <v>4</v>
      </c>
      <c r="N9" t="s">
        <v>137</v>
      </c>
      <c r="O9">
        <v>5</v>
      </c>
      <c r="P9">
        <v>5</v>
      </c>
      <c r="Q9">
        <v>5</v>
      </c>
      <c r="R9">
        <v>5</v>
      </c>
      <c r="S9">
        <v>5</v>
      </c>
      <c r="T9">
        <v>5</v>
      </c>
      <c r="U9">
        <v>5</v>
      </c>
      <c r="V9">
        <v>5</v>
      </c>
      <c r="W9">
        <v>5</v>
      </c>
      <c r="X9">
        <f>SUM(Table1104[[#This Row],[912]:[112]])</f>
        <v>45</v>
      </c>
      <c r="Y9">
        <f>AVERAGE(Table1104[[#This Row],[912]:[112]])</f>
        <v>5</v>
      </c>
    </row>
    <row r="10" spans="1:35" x14ac:dyDescent="0.35">
      <c r="A10" t="s">
        <v>136</v>
      </c>
      <c r="B10">
        <v>3</v>
      </c>
      <c r="C10">
        <v>3</v>
      </c>
      <c r="D10">
        <v>3</v>
      </c>
      <c r="E10">
        <v>3</v>
      </c>
      <c r="F10">
        <v>3</v>
      </c>
      <c r="G10">
        <v>3</v>
      </c>
      <c r="H10">
        <v>3</v>
      </c>
      <c r="I10">
        <v>3</v>
      </c>
      <c r="J10">
        <v>3</v>
      </c>
      <c r="K10">
        <f>SUM(Table163[[#This Row],[912]:[112]])</f>
        <v>27</v>
      </c>
      <c r="L10">
        <f>AVERAGE(Table163[[#This Row],[112]])</f>
        <v>3</v>
      </c>
      <c r="N10" t="s">
        <v>136</v>
      </c>
      <c r="O10">
        <v>5</v>
      </c>
      <c r="P10">
        <v>5</v>
      </c>
      <c r="Q10">
        <v>5</v>
      </c>
      <c r="R10">
        <v>5</v>
      </c>
      <c r="S10">
        <v>5</v>
      </c>
      <c r="T10">
        <v>5</v>
      </c>
      <c r="U10">
        <v>5</v>
      </c>
      <c r="V10">
        <v>5</v>
      </c>
      <c r="W10">
        <v>5</v>
      </c>
      <c r="X10">
        <f>SUM(Table1104[[#This Row],[912]:[112]])</f>
        <v>45</v>
      </c>
      <c r="Y10">
        <f>AVERAGE(Table1104[[#This Row],[912]:[112]])</f>
        <v>5</v>
      </c>
    </row>
    <row r="11" spans="1:35" x14ac:dyDescent="0.35">
      <c r="A11" t="s">
        <v>135</v>
      </c>
      <c r="B11">
        <v>4</v>
      </c>
      <c r="C11">
        <v>4</v>
      </c>
      <c r="D11">
        <v>4</v>
      </c>
      <c r="E11">
        <v>4</v>
      </c>
      <c r="F11">
        <v>4</v>
      </c>
      <c r="G11">
        <v>4</v>
      </c>
      <c r="H11">
        <v>4</v>
      </c>
      <c r="I11">
        <v>4</v>
      </c>
      <c r="J11">
        <v>4</v>
      </c>
      <c r="K11">
        <f>SUM(Table163[[#This Row],[912]:[112]])</f>
        <v>36</v>
      </c>
      <c r="L11">
        <f>AVERAGE(Table163[[#This Row],[112]])</f>
        <v>4</v>
      </c>
      <c r="N11" t="s">
        <v>135</v>
      </c>
      <c r="O11">
        <v>5</v>
      </c>
      <c r="P11">
        <v>5</v>
      </c>
      <c r="Q11">
        <v>5</v>
      </c>
      <c r="R11">
        <v>5</v>
      </c>
      <c r="S11">
        <v>5</v>
      </c>
      <c r="T11">
        <v>5</v>
      </c>
      <c r="U11">
        <v>5</v>
      </c>
      <c r="V11">
        <v>5</v>
      </c>
      <c r="W11">
        <v>5</v>
      </c>
      <c r="X11">
        <f>SUM(Table1104[[#This Row],[912]:[112]])</f>
        <v>45</v>
      </c>
      <c r="Y11">
        <f>AVERAGE(Table1104[[#This Row],[912]:[112]])</f>
        <v>5</v>
      </c>
    </row>
    <row r="12" spans="1:35" x14ac:dyDescent="0.35">
      <c r="A12" t="s">
        <v>134</v>
      </c>
      <c r="B12" s="16">
        <v>4</v>
      </c>
      <c r="C12" s="16">
        <v>4</v>
      </c>
      <c r="D12" s="16">
        <v>4</v>
      </c>
      <c r="E12" s="16">
        <v>5</v>
      </c>
      <c r="F12" s="16">
        <v>5</v>
      </c>
      <c r="G12" s="16">
        <v>4</v>
      </c>
      <c r="H12" s="16">
        <v>4</v>
      </c>
      <c r="I12" s="16">
        <v>4</v>
      </c>
      <c r="J12" s="16">
        <v>5</v>
      </c>
      <c r="K12">
        <f>SUM(Table163[[#This Row],[912]:[112]])</f>
        <v>39</v>
      </c>
      <c r="L12">
        <f>AVERAGE(Table163[[#This Row],[112]])</f>
        <v>5</v>
      </c>
      <c r="N12" t="s">
        <v>134</v>
      </c>
      <c r="O12">
        <v>3.5</v>
      </c>
      <c r="P12">
        <v>3.5</v>
      </c>
      <c r="Q12">
        <v>3.5</v>
      </c>
      <c r="R12">
        <v>8</v>
      </c>
      <c r="S12">
        <v>8</v>
      </c>
      <c r="T12">
        <v>3.5</v>
      </c>
      <c r="U12">
        <v>3.5</v>
      </c>
      <c r="V12">
        <v>3.5</v>
      </c>
      <c r="W12">
        <v>8</v>
      </c>
      <c r="X12">
        <f>SUM(Table1104[[#This Row],[912]:[112]])</f>
        <v>45</v>
      </c>
      <c r="Y12">
        <f>AVERAGE(Table1104[[#This Row],[912]:[112]])</f>
        <v>5</v>
      </c>
    </row>
    <row r="13" spans="1:35" x14ac:dyDescent="0.35">
      <c r="A13" t="s">
        <v>133</v>
      </c>
      <c r="B13">
        <v>3</v>
      </c>
      <c r="C13">
        <v>3</v>
      </c>
      <c r="D13">
        <v>4</v>
      </c>
      <c r="E13">
        <v>5</v>
      </c>
      <c r="F13">
        <v>5</v>
      </c>
      <c r="G13">
        <v>5</v>
      </c>
      <c r="H13">
        <v>4</v>
      </c>
      <c r="I13">
        <v>4</v>
      </c>
      <c r="J13">
        <v>5</v>
      </c>
      <c r="K13">
        <f>SUM(Table163[[#This Row],[912]:[112]])</f>
        <v>38</v>
      </c>
      <c r="L13">
        <f>AVERAGE(Table163[[#This Row],[112]])</f>
        <v>5</v>
      </c>
      <c r="N13" t="s">
        <v>133</v>
      </c>
      <c r="O13">
        <v>1.5</v>
      </c>
      <c r="P13">
        <v>1.5</v>
      </c>
      <c r="Q13">
        <v>4</v>
      </c>
      <c r="R13">
        <v>7.5</v>
      </c>
      <c r="S13">
        <v>7.5</v>
      </c>
      <c r="T13">
        <v>7.5</v>
      </c>
      <c r="U13">
        <v>4</v>
      </c>
      <c r="V13">
        <v>4</v>
      </c>
      <c r="W13">
        <v>7.5</v>
      </c>
      <c r="X13">
        <f>SUM(Table1104[[#This Row],[912]:[112]])</f>
        <v>45</v>
      </c>
      <c r="Y13">
        <f>AVERAGE(Table1104[[#This Row],[912]:[112]])</f>
        <v>5</v>
      </c>
    </row>
    <row r="14" spans="1:35" x14ac:dyDescent="0.35">
      <c r="A14" t="s">
        <v>132</v>
      </c>
      <c r="B14" s="15">
        <v>3</v>
      </c>
      <c r="C14" s="15">
        <v>3</v>
      </c>
      <c r="D14" s="15">
        <v>4</v>
      </c>
      <c r="E14" s="15">
        <v>4</v>
      </c>
      <c r="F14" s="15">
        <v>3</v>
      </c>
      <c r="G14" s="15">
        <v>4</v>
      </c>
      <c r="H14" s="15">
        <v>4</v>
      </c>
      <c r="I14" s="15">
        <v>4</v>
      </c>
      <c r="J14" s="15">
        <v>4</v>
      </c>
      <c r="K14">
        <f>SUM(Table163[[#This Row],[912]:[112]])</f>
        <v>33</v>
      </c>
      <c r="L14">
        <f>AVERAGE(Table163[[#This Row],[112]])</f>
        <v>4</v>
      </c>
      <c r="N14" t="s">
        <v>132</v>
      </c>
      <c r="O14">
        <v>2</v>
      </c>
      <c r="P14">
        <v>2</v>
      </c>
      <c r="Q14">
        <v>6.5</v>
      </c>
      <c r="R14">
        <v>6.5</v>
      </c>
      <c r="S14">
        <v>2</v>
      </c>
      <c r="T14">
        <v>6.5</v>
      </c>
      <c r="U14">
        <v>6.5</v>
      </c>
      <c r="V14">
        <v>6.5</v>
      </c>
      <c r="W14">
        <v>6.5</v>
      </c>
      <c r="X14">
        <f>SUM(Table1104[[#This Row],[912]:[112]])</f>
        <v>45</v>
      </c>
      <c r="Y14">
        <f>AVERAGE(Table1104[[#This Row],[912]:[112]])</f>
        <v>5</v>
      </c>
    </row>
    <row r="15" spans="1:35" x14ac:dyDescent="0.35">
      <c r="A15" t="s">
        <v>131</v>
      </c>
      <c r="B15">
        <v>3</v>
      </c>
      <c r="C15">
        <v>3</v>
      </c>
      <c r="D15">
        <v>4</v>
      </c>
      <c r="E15">
        <v>4</v>
      </c>
      <c r="F15">
        <v>3</v>
      </c>
      <c r="G15">
        <v>3</v>
      </c>
      <c r="H15">
        <v>4</v>
      </c>
      <c r="I15">
        <v>3</v>
      </c>
      <c r="J15">
        <v>3</v>
      </c>
      <c r="K15">
        <f>SUM(Table163[[#This Row],[912]:[112]])</f>
        <v>30</v>
      </c>
      <c r="L15">
        <f>AVERAGE(Table163[[#This Row],[112]])</f>
        <v>3</v>
      </c>
      <c r="N15" t="s">
        <v>131</v>
      </c>
      <c r="O15">
        <v>3.5</v>
      </c>
      <c r="P15">
        <v>3.5</v>
      </c>
      <c r="Q15">
        <v>8</v>
      </c>
      <c r="R15">
        <v>8</v>
      </c>
      <c r="S15">
        <v>3.5</v>
      </c>
      <c r="T15">
        <v>3.5</v>
      </c>
      <c r="U15">
        <v>8</v>
      </c>
      <c r="V15">
        <v>3.5</v>
      </c>
      <c r="W15">
        <v>3.5</v>
      </c>
      <c r="X15">
        <f>SUM(Table1104[[#This Row],[912]:[112]])</f>
        <v>45</v>
      </c>
      <c r="Y15">
        <f>AVERAGE(Table1104[[#This Row],[912]:[112]])</f>
        <v>5</v>
      </c>
    </row>
    <row r="16" spans="1:35" x14ac:dyDescent="0.35">
      <c r="A16" t="s">
        <v>130</v>
      </c>
      <c r="B16" s="15">
        <v>5</v>
      </c>
      <c r="C16" s="15">
        <v>5</v>
      </c>
      <c r="D16" s="15">
        <v>5</v>
      </c>
      <c r="E16" s="15">
        <v>5</v>
      </c>
      <c r="F16" s="15">
        <v>5</v>
      </c>
      <c r="G16" s="15">
        <v>5</v>
      </c>
      <c r="H16" s="15">
        <v>5</v>
      </c>
      <c r="I16" s="15">
        <v>5</v>
      </c>
      <c r="J16" s="15">
        <v>5</v>
      </c>
      <c r="K16">
        <f>SUM(Table163[[#This Row],[912]:[112]])</f>
        <v>45</v>
      </c>
      <c r="L16">
        <f>AVERAGE(Table163[[#This Row],[112]])</f>
        <v>5</v>
      </c>
      <c r="N16" t="s">
        <v>130</v>
      </c>
      <c r="O16">
        <v>5</v>
      </c>
      <c r="P16">
        <v>5</v>
      </c>
      <c r="Q16">
        <v>5</v>
      </c>
      <c r="R16">
        <v>5</v>
      </c>
      <c r="S16">
        <v>5</v>
      </c>
      <c r="T16">
        <v>5</v>
      </c>
      <c r="U16">
        <v>5</v>
      </c>
      <c r="V16">
        <v>5</v>
      </c>
      <c r="W16">
        <v>5</v>
      </c>
      <c r="X16">
        <f>SUM(Table1104[[#This Row],[912]:[112]])</f>
        <v>45</v>
      </c>
      <c r="Y16">
        <f>AVERAGE(Table1104[[#This Row],[912]:[112]])</f>
        <v>5</v>
      </c>
    </row>
    <row r="17" spans="1:25" x14ac:dyDescent="0.35">
      <c r="A17" t="s">
        <v>129</v>
      </c>
      <c r="B17">
        <v>3</v>
      </c>
      <c r="C17">
        <v>2</v>
      </c>
      <c r="D17">
        <v>2</v>
      </c>
      <c r="E17">
        <v>5</v>
      </c>
      <c r="F17">
        <v>1</v>
      </c>
      <c r="G17">
        <v>2</v>
      </c>
      <c r="H17">
        <v>3</v>
      </c>
      <c r="I17">
        <v>3</v>
      </c>
      <c r="J17">
        <v>4</v>
      </c>
      <c r="K17">
        <f>SUM(Table163[[#This Row],[912]:[112]])</f>
        <v>25</v>
      </c>
      <c r="L17">
        <f>AVERAGE(Table163[[#This Row],[112]])</f>
        <v>4</v>
      </c>
      <c r="N17" t="s">
        <v>129</v>
      </c>
      <c r="O17">
        <v>6</v>
      </c>
      <c r="P17">
        <v>3</v>
      </c>
      <c r="Q17">
        <v>3</v>
      </c>
      <c r="R17">
        <v>9</v>
      </c>
      <c r="S17">
        <v>1</v>
      </c>
      <c r="T17">
        <v>3</v>
      </c>
      <c r="U17">
        <v>6</v>
      </c>
      <c r="V17">
        <v>6</v>
      </c>
      <c r="W17">
        <v>8</v>
      </c>
      <c r="X17">
        <f>SUM(Table1104[[#This Row],[912]:[112]])</f>
        <v>45</v>
      </c>
      <c r="Y17">
        <f>AVERAGE(Table1104[[#This Row],[912]:[112]])</f>
        <v>5</v>
      </c>
    </row>
    <row r="18" spans="1:25" x14ac:dyDescent="0.35">
      <c r="A18" t="s">
        <v>128</v>
      </c>
      <c r="B18">
        <v>4</v>
      </c>
      <c r="C18">
        <v>4</v>
      </c>
      <c r="D18">
        <v>5</v>
      </c>
      <c r="E18">
        <v>4</v>
      </c>
      <c r="F18">
        <v>5</v>
      </c>
      <c r="G18">
        <v>5</v>
      </c>
      <c r="H18">
        <v>5</v>
      </c>
      <c r="I18">
        <v>5</v>
      </c>
      <c r="J18">
        <v>5</v>
      </c>
      <c r="K18">
        <f>SUM(Table163[[#This Row],[912]:[112]])</f>
        <v>42</v>
      </c>
      <c r="L18">
        <f>AVERAGE(Table163[[#This Row],[112]])</f>
        <v>5</v>
      </c>
      <c r="N18" t="s">
        <v>128</v>
      </c>
      <c r="O18">
        <v>2</v>
      </c>
      <c r="P18">
        <v>2</v>
      </c>
      <c r="Q18">
        <v>6.5</v>
      </c>
      <c r="R18">
        <v>2</v>
      </c>
      <c r="S18">
        <v>6.5</v>
      </c>
      <c r="T18">
        <v>6.5</v>
      </c>
      <c r="U18">
        <v>6.5</v>
      </c>
      <c r="V18">
        <v>6.5</v>
      </c>
      <c r="W18">
        <v>6.5</v>
      </c>
      <c r="X18">
        <f>SUM(Table1104[[#This Row],[912]:[112]])</f>
        <v>45</v>
      </c>
      <c r="Y18">
        <f>AVERAGE(Table1104[[#This Row],[912]:[112]])</f>
        <v>5</v>
      </c>
    </row>
    <row r="19" spans="1:25" x14ac:dyDescent="0.35">
      <c r="A19" t="s">
        <v>127</v>
      </c>
      <c r="B19">
        <v>3</v>
      </c>
      <c r="C19">
        <v>3</v>
      </c>
      <c r="D19">
        <v>3</v>
      </c>
      <c r="E19">
        <v>2</v>
      </c>
      <c r="F19">
        <v>4</v>
      </c>
      <c r="G19">
        <v>3</v>
      </c>
      <c r="H19">
        <v>4</v>
      </c>
      <c r="I19">
        <v>3</v>
      </c>
      <c r="J19">
        <v>4</v>
      </c>
      <c r="K19">
        <f>SUM(Table163[[#This Row],[912]:[112]])</f>
        <v>29</v>
      </c>
      <c r="L19">
        <f>AVERAGE(Table163[[#This Row],[112]])</f>
        <v>4</v>
      </c>
      <c r="N19" t="s">
        <v>127</v>
      </c>
      <c r="O19">
        <v>4</v>
      </c>
      <c r="P19">
        <v>4</v>
      </c>
      <c r="Q19">
        <v>4</v>
      </c>
      <c r="R19">
        <v>1</v>
      </c>
      <c r="S19">
        <v>8</v>
      </c>
      <c r="T19">
        <v>4</v>
      </c>
      <c r="U19">
        <v>8</v>
      </c>
      <c r="V19">
        <v>4</v>
      </c>
      <c r="W19">
        <v>8</v>
      </c>
      <c r="X19">
        <f>SUM(Table1104[[#This Row],[912]:[112]])</f>
        <v>45</v>
      </c>
      <c r="Y19" s="5">
        <f>AVERAGE(Table1104[[#This Row],[912]:[112]])</f>
        <v>5</v>
      </c>
    </row>
    <row r="20" spans="1:25" x14ac:dyDescent="0.35">
      <c r="A20" t="s">
        <v>126</v>
      </c>
      <c r="B20">
        <v>4</v>
      </c>
      <c r="C20">
        <v>3</v>
      </c>
      <c r="D20">
        <v>4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f>SUM(Table163[[#This Row],[912]:[112]])</f>
        <v>29</v>
      </c>
      <c r="L20">
        <f>AVERAGE(Table163[[#This Row],[112]])</f>
        <v>3</v>
      </c>
      <c r="N20" t="s">
        <v>126</v>
      </c>
      <c r="O20">
        <v>8.5</v>
      </c>
      <c r="P20">
        <v>4</v>
      </c>
      <c r="Q20">
        <v>8.5</v>
      </c>
      <c r="R20">
        <v>4</v>
      </c>
      <c r="S20">
        <v>4</v>
      </c>
      <c r="T20">
        <v>4</v>
      </c>
      <c r="U20">
        <v>4</v>
      </c>
      <c r="V20">
        <v>4</v>
      </c>
      <c r="W20">
        <v>4</v>
      </c>
      <c r="X20">
        <f>SUM(Table1104[[#This Row],[912]:[112]])</f>
        <v>45</v>
      </c>
      <c r="Y20">
        <f>AVERAGE(Table1104[[#This Row],[912]:[112]])</f>
        <v>5</v>
      </c>
    </row>
    <row r="21" spans="1:25" x14ac:dyDescent="0.35">
      <c r="A21" t="s">
        <v>125</v>
      </c>
      <c r="B21">
        <v>4</v>
      </c>
      <c r="C21">
        <v>3</v>
      </c>
      <c r="D21">
        <v>2</v>
      </c>
      <c r="E21">
        <v>3</v>
      </c>
      <c r="F21">
        <v>4</v>
      </c>
      <c r="G21">
        <v>4</v>
      </c>
      <c r="H21">
        <v>2</v>
      </c>
      <c r="I21">
        <v>3</v>
      </c>
      <c r="J21">
        <v>4</v>
      </c>
      <c r="K21">
        <f>SUM(Table163[[#This Row],[912]:[112]])</f>
        <v>29</v>
      </c>
      <c r="L21">
        <f>AVERAGE(Table163[[#This Row],[112]])</f>
        <v>4</v>
      </c>
      <c r="N21" t="s">
        <v>125</v>
      </c>
      <c r="O21">
        <v>7.5</v>
      </c>
      <c r="P21">
        <v>4</v>
      </c>
      <c r="Q21">
        <v>1.5</v>
      </c>
      <c r="R21">
        <v>4</v>
      </c>
      <c r="S21">
        <v>7.5</v>
      </c>
      <c r="T21">
        <v>7.5</v>
      </c>
      <c r="U21">
        <v>1.5</v>
      </c>
      <c r="V21">
        <v>4</v>
      </c>
      <c r="W21">
        <v>7.5</v>
      </c>
      <c r="X21">
        <f>SUM(Table1104[[#This Row],[912]:[112]])</f>
        <v>45</v>
      </c>
      <c r="Y21">
        <f>AVERAGE(Table1104[[#This Row],[912]:[112]])</f>
        <v>5</v>
      </c>
    </row>
    <row r="22" spans="1:25" x14ac:dyDescent="0.35">
      <c r="A22" t="s">
        <v>124</v>
      </c>
      <c r="B22">
        <v>3</v>
      </c>
      <c r="C22">
        <v>4</v>
      </c>
      <c r="D22">
        <v>4</v>
      </c>
      <c r="E22">
        <v>4</v>
      </c>
      <c r="F22">
        <v>4</v>
      </c>
      <c r="G22">
        <v>3</v>
      </c>
      <c r="H22">
        <v>4</v>
      </c>
      <c r="I22">
        <v>4</v>
      </c>
      <c r="J22">
        <v>4</v>
      </c>
      <c r="K22">
        <f>SUM(Table163[[#This Row],[912]:[112]])</f>
        <v>34</v>
      </c>
      <c r="L22">
        <f>AVERAGE(Table163[[#This Row],[112]])</f>
        <v>4</v>
      </c>
      <c r="N22" t="s">
        <v>124</v>
      </c>
      <c r="O22">
        <v>1.5</v>
      </c>
      <c r="P22">
        <v>6</v>
      </c>
      <c r="Q22">
        <v>6</v>
      </c>
      <c r="R22">
        <v>6</v>
      </c>
      <c r="S22">
        <v>6</v>
      </c>
      <c r="T22">
        <v>1.5</v>
      </c>
      <c r="U22">
        <v>6</v>
      </c>
      <c r="V22">
        <v>6</v>
      </c>
      <c r="W22">
        <v>6</v>
      </c>
      <c r="X22">
        <f>SUM(Table1104[[#This Row],[912]:[112]])</f>
        <v>45</v>
      </c>
      <c r="Y22">
        <f>AVERAGE(Table1104[[#This Row],[912]:[112]])</f>
        <v>5</v>
      </c>
    </row>
    <row r="23" spans="1:25" x14ac:dyDescent="0.35">
      <c r="A23" t="s">
        <v>123</v>
      </c>
      <c r="B23">
        <v>2</v>
      </c>
      <c r="C23">
        <v>3</v>
      </c>
      <c r="D23">
        <v>4</v>
      </c>
      <c r="E23">
        <v>4</v>
      </c>
      <c r="F23">
        <v>3</v>
      </c>
      <c r="G23">
        <v>2</v>
      </c>
      <c r="H23">
        <v>3</v>
      </c>
      <c r="I23">
        <v>4</v>
      </c>
      <c r="J23">
        <v>3</v>
      </c>
      <c r="K23">
        <f>SUM(Table163[[#This Row],[912]:[112]])</f>
        <v>28</v>
      </c>
      <c r="L23">
        <f>AVERAGE(Table163[[#This Row],[112]])</f>
        <v>3</v>
      </c>
      <c r="N23" t="s">
        <v>123</v>
      </c>
      <c r="O23">
        <v>1.5</v>
      </c>
      <c r="P23">
        <v>4.5</v>
      </c>
      <c r="Q23">
        <v>8</v>
      </c>
      <c r="R23">
        <v>8</v>
      </c>
      <c r="S23">
        <v>4.5</v>
      </c>
      <c r="T23">
        <v>1.5</v>
      </c>
      <c r="U23">
        <v>4.5</v>
      </c>
      <c r="V23">
        <v>8</v>
      </c>
      <c r="W23">
        <v>4.5</v>
      </c>
      <c r="X23">
        <f>SUM(Table1104[[#This Row],[912]:[112]])</f>
        <v>45</v>
      </c>
      <c r="Y23">
        <f>AVERAGE(Table1104[[#This Row],[912]:[112]])</f>
        <v>5</v>
      </c>
    </row>
    <row r="24" spans="1:25" x14ac:dyDescent="0.35">
      <c r="A24" t="s">
        <v>122</v>
      </c>
      <c r="B24">
        <v>4</v>
      </c>
      <c r="C24">
        <v>3</v>
      </c>
      <c r="D24">
        <v>4</v>
      </c>
      <c r="E24">
        <v>5</v>
      </c>
      <c r="F24">
        <v>4</v>
      </c>
      <c r="G24">
        <v>5</v>
      </c>
      <c r="H24">
        <v>4</v>
      </c>
      <c r="I24">
        <v>4</v>
      </c>
      <c r="J24">
        <v>4</v>
      </c>
      <c r="K24">
        <f>SUM(Table163[[#This Row],[912]:[112]])</f>
        <v>37</v>
      </c>
      <c r="L24">
        <f>AVERAGE(Table163[[#This Row],[112]])</f>
        <v>4</v>
      </c>
      <c r="N24" t="s">
        <v>122</v>
      </c>
      <c r="O24">
        <v>4.5</v>
      </c>
      <c r="P24">
        <v>1</v>
      </c>
      <c r="Q24">
        <v>4.5</v>
      </c>
      <c r="R24">
        <v>8.5</v>
      </c>
      <c r="S24">
        <v>4.5</v>
      </c>
      <c r="T24">
        <v>8.5</v>
      </c>
      <c r="U24">
        <v>4.5</v>
      </c>
      <c r="V24">
        <v>4.5</v>
      </c>
      <c r="W24">
        <v>4.5</v>
      </c>
      <c r="X24">
        <f>SUM(Table1104[[#This Row],[912]:[112]])</f>
        <v>45</v>
      </c>
      <c r="Y24" s="5">
        <f>AVERAGE(Table1104[[#This Row],[912]:[112]])</f>
        <v>5</v>
      </c>
    </row>
    <row r="25" spans="1:25" x14ac:dyDescent="0.35">
      <c r="A25" t="s">
        <v>121</v>
      </c>
      <c r="B25">
        <v>2</v>
      </c>
      <c r="C25">
        <v>3</v>
      </c>
      <c r="D25">
        <v>4</v>
      </c>
      <c r="E25">
        <v>5</v>
      </c>
      <c r="F25">
        <v>4</v>
      </c>
      <c r="G25">
        <v>5</v>
      </c>
      <c r="H25">
        <v>3</v>
      </c>
      <c r="I25">
        <v>4</v>
      </c>
      <c r="J25">
        <v>5</v>
      </c>
      <c r="K25">
        <f>SUM(Table163[[#This Row],[912]:[112]])</f>
        <v>35</v>
      </c>
      <c r="L25">
        <f>AVERAGE(Table163[[#This Row],[112]])</f>
        <v>5</v>
      </c>
      <c r="N25" t="s">
        <v>121</v>
      </c>
      <c r="O25">
        <v>1</v>
      </c>
      <c r="P25">
        <v>2.5</v>
      </c>
      <c r="Q25">
        <v>5</v>
      </c>
      <c r="R25">
        <v>8</v>
      </c>
      <c r="S25">
        <v>5</v>
      </c>
      <c r="T25">
        <v>8</v>
      </c>
      <c r="U25">
        <v>2.5</v>
      </c>
      <c r="V25">
        <v>5</v>
      </c>
      <c r="W25">
        <v>8</v>
      </c>
      <c r="X25">
        <f>SUM(Table1104[[#This Row],[912]:[112]])</f>
        <v>45</v>
      </c>
      <c r="Y25" s="5">
        <f>AVERAGE(Table1104[[#This Row],[912]:[112]])</f>
        <v>5</v>
      </c>
    </row>
    <row r="26" spans="1:25" x14ac:dyDescent="0.35">
      <c r="A26" t="s">
        <v>120</v>
      </c>
      <c r="B26">
        <v>4</v>
      </c>
      <c r="C26">
        <v>3</v>
      </c>
      <c r="D26">
        <v>4</v>
      </c>
      <c r="E26">
        <v>5</v>
      </c>
      <c r="F26">
        <v>4</v>
      </c>
      <c r="G26">
        <v>3</v>
      </c>
      <c r="H26">
        <v>5</v>
      </c>
      <c r="I26">
        <v>4</v>
      </c>
      <c r="J26">
        <v>3</v>
      </c>
      <c r="K26">
        <f>SUM(Table163[[#This Row],[912]:[112]])</f>
        <v>35</v>
      </c>
      <c r="L26">
        <f>AVERAGE(Table163[[#This Row],[112]])</f>
        <v>3</v>
      </c>
      <c r="N26" t="s">
        <v>120</v>
      </c>
      <c r="O26">
        <v>5.5</v>
      </c>
      <c r="P26">
        <v>2</v>
      </c>
      <c r="Q26">
        <v>5.5</v>
      </c>
      <c r="R26">
        <v>8.5</v>
      </c>
      <c r="S26">
        <v>5.5</v>
      </c>
      <c r="T26">
        <v>2</v>
      </c>
      <c r="U26">
        <v>8.5</v>
      </c>
      <c r="V26">
        <v>5.5</v>
      </c>
      <c r="W26">
        <v>2</v>
      </c>
      <c r="X26">
        <f>SUM(Table1104[[#This Row],[912]:[112]])</f>
        <v>45</v>
      </c>
      <c r="Y26">
        <f>AVERAGE(Table1104[[#This Row],[912]:[112]])</f>
        <v>5</v>
      </c>
    </row>
    <row r="27" spans="1:25" x14ac:dyDescent="0.35">
      <c r="A27" t="s">
        <v>119</v>
      </c>
      <c r="B27">
        <v>3</v>
      </c>
      <c r="C27">
        <v>5</v>
      </c>
      <c r="D27">
        <v>5</v>
      </c>
      <c r="E27">
        <v>4</v>
      </c>
      <c r="F27">
        <v>4</v>
      </c>
      <c r="G27">
        <v>3</v>
      </c>
      <c r="H27">
        <v>2</v>
      </c>
      <c r="I27">
        <v>5</v>
      </c>
      <c r="J27">
        <v>4</v>
      </c>
      <c r="K27">
        <f>SUM(Table163[[#This Row],[912]:[112]])</f>
        <v>35</v>
      </c>
      <c r="L27" s="5">
        <f>AVERAGE(Table163[[#This Row],[912]:[112]])</f>
        <v>3.8888888888888888</v>
      </c>
      <c r="N27" t="s">
        <v>119</v>
      </c>
      <c r="O27">
        <v>2.5</v>
      </c>
      <c r="P27">
        <v>8</v>
      </c>
      <c r="Q27">
        <v>8</v>
      </c>
      <c r="R27">
        <v>5</v>
      </c>
      <c r="S27">
        <v>5</v>
      </c>
      <c r="T27">
        <v>2.5</v>
      </c>
      <c r="U27">
        <v>1</v>
      </c>
      <c r="V27">
        <v>8</v>
      </c>
      <c r="W27">
        <v>5</v>
      </c>
      <c r="X27">
        <f>SUM(Table1104[[#This Row],[912]:[112]])</f>
        <v>45</v>
      </c>
      <c r="Y27" s="5">
        <f>AVERAGE(Table1104[[#This Row],[912]:[112]])</f>
        <v>5</v>
      </c>
    </row>
    <row r="28" spans="1:25" x14ac:dyDescent="0.35">
      <c r="A28" t="s">
        <v>118</v>
      </c>
      <c r="B28">
        <v>3</v>
      </c>
      <c r="C28">
        <v>4</v>
      </c>
      <c r="D28">
        <v>3</v>
      </c>
      <c r="E28">
        <v>3</v>
      </c>
      <c r="F28">
        <v>3</v>
      </c>
      <c r="G28">
        <v>4</v>
      </c>
      <c r="H28">
        <v>5</v>
      </c>
      <c r="I28">
        <v>5</v>
      </c>
      <c r="J28">
        <v>5</v>
      </c>
      <c r="K28">
        <f>SUM(Table163[[#This Row],[912]:[112]])</f>
        <v>35</v>
      </c>
      <c r="L28" s="5">
        <f>AVERAGE(Table163[[#This Row],[912]:[112]])</f>
        <v>3.8888888888888888</v>
      </c>
      <c r="N28" t="s">
        <v>118</v>
      </c>
      <c r="O28">
        <v>2.5</v>
      </c>
      <c r="P28">
        <v>5.5</v>
      </c>
      <c r="Q28">
        <v>2.5</v>
      </c>
      <c r="R28">
        <v>2.5</v>
      </c>
      <c r="S28">
        <v>2.5</v>
      </c>
      <c r="T28">
        <v>5.5</v>
      </c>
      <c r="U28">
        <v>8</v>
      </c>
      <c r="V28">
        <v>8</v>
      </c>
      <c r="W28">
        <v>8</v>
      </c>
      <c r="X28">
        <f>SUM(Table1104[[#This Row],[912]:[112]])</f>
        <v>45</v>
      </c>
      <c r="Y28">
        <f>AVERAGE(Table1104[[#This Row],[912]:[112]])</f>
        <v>5</v>
      </c>
    </row>
    <row r="29" spans="1:25" x14ac:dyDescent="0.35">
      <c r="A29" t="s">
        <v>117</v>
      </c>
      <c r="B29">
        <v>5</v>
      </c>
      <c r="C29">
        <v>4</v>
      </c>
      <c r="D29">
        <v>3</v>
      </c>
      <c r="E29">
        <v>4</v>
      </c>
      <c r="F29">
        <v>4</v>
      </c>
      <c r="G29">
        <v>3</v>
      </c>
      <c r="H29">
        <v>4</v>
      </c>
      <c r="I29">
        <v>4</v>
      </c>
      <c r="J29">
        <v>3</v>
      </c>
      <c r="K29">
        <f>SUM(Table163[[#This Row],[912]:[112]])</f>
        <v>34</v>
      </c>
      <c r="L29" s="5">
        <f>AVERAGE(Table163[[#This Row],[912]:[112]])</f>
        <v>3.7777777777777777</v>
      </c>
      <c r="N29" t="s">
        <v>117</v>
      </c>
      <c r="O29">
        <v>9</v>
      </c>
      <c r="P29">
        <v>6</v>
      </c>
      <c r="Q29">
        <v>2</v>
      </c>
      <c r="R29">
        <v>6</v>
      </c>
      <c r="S29">
        <v>6</v>
      </c>
      <c r="T29">
        <v>2</v>
      </c>
      <c r="U29">
        <v>6</v>
      </c>
      <c r="V29">
        <v>6</v>
      </c>
      <c r="W29">
        <v>2</v>
      </c>
      <c r="X29">
        <f>SUM(Table1104[[#This Row],[912]:[112]])</f>
        <v>45</v>
      </c>
      <c r="Y29">
        <f>AVERAGE(Table1104[[#This Row],[912]:[112]])</f>
        <v>5</v>
      </c>
    </row>
    <row r="30" spans="1:25" x14ac:dyDescent="0.35">
      <c r="A30" t="s">
        <v>116</v>
      </c>
      <c r="B30">
        <v>4</v>
      </c>
      <c r="C30">
        <v>4</v>
      </c>
      <c r="D30">
        <v>4</v>
      </c>
      <c r="E30">
        <v>4</v>
      </c>
      <c r="F30">
        <v>4</v>
      </c>
      <c r="G30">
        <v>4</v>
      </c>
      <c r="H30">
        <v>4</v>
      </c>
      <c r="I30">
        <v>4</v>
      </c>
      <c r="J30">
        <v>4</v>
      </c>
      <c r="K30">
        <f>SUM(Table163[[#This Row],[912]:[112]])</f>
        <v>36</v>
      </c>
      <c r="L30">
        <f>AVERAGE(Table163[[#This Row],[912]:[112]])</f>
        <v>4</v>
      </c>
      <c r="N30" t="s">
        <v>116</v>
      </c>
      <c r="O30">
        <v>5</v>
      </c>
      <c r="P30">
        <v>5</v>
      </c>
      <c r="Q30">
        <v>5</v>
      </c>
      <c r="R30">
        <v>5</v>
      </c>
      <c r="S30">
        <v>5</v>
      </c>
      <c r="T30">
        <v>5</v>
      </c>
      <c r="U30">
        <v>5</v>
      </c>
      <c r="V30">
        <v>5</v>
      </c>
      <c r="W30">
        <v>5</v>
      </c>
      <c r="X30">
        <f>SUM(Table1104[[#This Row],[912]:[112]])</f>
        <v>45</v>
      </c>
      <c r="Y30">
        <f>AVERAGE(Table1104[[#This Row],[912]:[112]])</f>
        <v>5</v>
      </c>
    </row>
    <row r="31" spans="1:25" x14ac:dyDescent="0.35">
      <c r="A31" t="s">
        <v>115</v>
      </c>
      <c r="B31">
        <v>5</v>
      </c>
      <c r="C31">
        <v>5</v>
      </c>
      <c r="D31">
        <v>5</v>
      </c>
      <c r="E31">
        <v>5</v>
      </c>
      <c r="F31">
        <v>5</v>
      </c>
      <c r="G31">
        <v>3</v>
      </c>
      <c r="H31">
        <v>3</v>
      </c>
      <c r="I31">
        <v>3</v>
      </c>
      <c r="J31">
        <v>3</v>
      </c>
      <c r="K31">
        <f>SUM(Table163[[#This Row],[912]:[112]])</f>
        <v>37</v>
      </c>
      <c r="L31" s="5">
        <f>AVERAGE(Table163[[#This Row],[912]:[112]])</f>
        <v>4.1111111111111107</v>
      </c>
      <c r="N31" t="s">
        <v>115</v>
      </c>
      <c r="O31">
        <v>7</v>
      </c>
      <c r="P31">
        <v>7</v>
      </c>
      <c r="Q31">
        <v>7</v>
      </c>
      <c r="R31">
        <v>7</v>
      </c>
      <c r="S31">
        <v>7</v>
      </c>
      <c r="T31">
        <v>2.5</v>
      </c>
      <c r="U31">
        <v>2.5</v>
      </c>
      <c r="V31">
        <v>2.5</v>
      </c>
      <c r="W31">
        <v>2.5</v>
      </c>
      <c r="X31">
        <f>SUM(Table1104[[#This Row],[912]:[112]])</f>
        <v>45</v>
      </c>
      <c r="Y31">
        <f>AVERAGE(Table1104[[#This Row],[912]:[112]])</f>
        <v>5</v>
      </c>
    </row>
    <row r="32" spans="1:25" x14ac:dyDescent="0.35">
      <c r="A32" t="s">
        <v>54</v>
      </c>
      <c r="B32">
        <f t="shared" ref="B32:K32" si="0">SUM(B2:B31)</f>
        <v>106</v>
      </c>
      <c r="C32">
        <f t="shared" si="0"/>
        <v>110</v>
      </c>
      <c r="D32">
        <f t="shared" si="0"/>
        <v>111</v>
      </c>
      <c r="E32">
        <f t="shared" si="0"/>
        <v>117</v>
      </c>
      <c r="F32">
        <f t="shared" si="0"/>
        <v>112</v>
      </c>
      <c r="G32">
        <f t="shared" si="0"/>
        <v>110</v>
      </c>
      <c r="H32">
        <f t="shared" si="0"/>
        <v>111</v>
      </c>
      <c r="I32">
        <f t="shared" si="0"/>
        <v>114</v>
      </c>
      <c r="J32">
        <f t="shared" si="0"/>
        <v>115</v>
      </c>
      <c r="K32">
        <f t="shared" si="0"/>
        <v>1006</v>
      </c>
      <c r="N32" t="s">
        <v>54</v>
      </c>
      <c r="O32" s="4">
        <f t="shared" ref="O32:X32" si="1">SUM(O2:O31)</f>
        <v>131.5</v>
      </c>
      <c r="P32" s="4">
        <f t="shared" si="1"/>
        <v>140</v>
      </c>
      <c r="Q32" s="4">
        <f t="shared" si="1"/>
        <v>147</v>
      </c>
      <c r="R32" s="4">
        <f t="shared" si="1"/>
        <v>163.5</v>
      </c>
      <c r="S32" s="4">
        <f t="shared" si="1"/>
        <v>152.5</v>
      </c>
      <c r="T32" s="4">
        <f t="shared" si="1"/>
        <v>146</v>
      </c>
      <c r="U32" s="4">
        <f t="shared" si="1"/>
        <v>152</v>
      </c>
      <c r="V32" s="4">
        <f t="shared" si="1"/>
        <v>158</v>
      </c>
      <c r="W32" s="4">
        <f t="shared" si="1"/>
        <v>159.5</v>
      </c>
      <c r="X32">
        <f t="shared" si="1"/>
        <v>1350</v>
      </c>
    </row>
    <row r="33" spans="1:24" x14ac:dyDescent="0.35">
      <c r="A33" t="s">
        <v>93</v>
      </c>
      <c r="B33" s="4">
        <f t="shared" ref="B33:J33" si="2">AVERAGE(B2:B31)</f>
        <v>3.5333333333333332</v>
      </c>
      <c r="C33" s="4">
        <f t="shared" si="2"/>
        <v>3.6666666666666665</v>
      </c>
      <c r="D33">
        <f t="shared" si="2"/>
        <v>3.7</v>
      </c>
      <c r="E33">
        <f t="shared" si="2"/>
        <v>3.9</v>
      </c>
      <c r="F33" s="4">
        <f t="shared" si="2"/>
        <v>3.7333333333333334</v>
      </c>
      <c r="G33" s="4">
        <f t="shared" si="2"/>
        <v>3.6666666666666665</v>
      </c>
      <c r="H33">
        <f t="shared" si="2"/>
        <v>3.7</v>
      </c>
      <c r="I33">
        <f t="shared" si="2"/>
        <v>3.8</v>
      </c>
      <c r="J33" s="4">
        <f t="shared" si="2"/>
        <v>3.8333333333333335</v>
      </c>
      <c r="N33" t="s">
        <v>93</v>
      </c>
      <c r="O33" s="4">
        <f>AVERAGE(O2:O31)</f>
        <v>4.3833333333333337</v>
      </c>
      <c r="P33" s="4">
        <f t="shared" ref="P33:W33" si="3">AVERAGE(P2:P31)</f>
        <v>4.666666666666667</v>
      </c>
      <c r="Q33" s="4">
        <f t="shared" si="3"/>
        <v>4.9000000000000004</v>
      </c>
      <c r="R33" s="4">
        <f t="shared" si="3"/>
        <v>5.45</v>
      </c>
      <c r="S33" s="4">
        <f t="shared" si="3"/>
        <v>5.083333333333333</v>
      </c>
      <c r="T33" s="4">
        <f t="shared" si="3"/>
        <v>4.8666666666666663</v>
      </c>
      <c r="U33" s="4">
        <f t="shared" si="3"/>
        <v>5.0666666666666664</v>
      </c>
      <c r="V33" s="4">
        <f t="shared" si="3"/>
        <v>5.2666666666666666</v>
      </c>
      <c r="W33" s="4">
        <f t="shared" si="3"/>
        <v>5.3166666666666664</v>
      </c>
    </row>
    <row r="35" spans="1:24" x14ac:dyDescent="0.35">
      <c r="E35" t="s">
        <v>257</v>
      </c>
      <c r="F35">
        <v>30</v>
      </c>
      <c r="X35" s="2"/>
    </row>
    <row r="36" spans="1:24" x14ac:dyDescent="0.35">
      <c r="E36" t="s">
        <v>63</v>
      </c>
      <c r="F36">
        <v>9</v>
      </c>
      <c r="H36" s="3"/>
      <c r="N36" s="113" t="s">
        <v>114</v>
      </c>
      <c r="O36" s="114"/>
      <c r="P36" s="114"/>
      <c r="Q36" s="114"/>
      <c r="R36" s="114"/>
      <c r="S36" s="115"/>
      <c r="T36" s="14" t="s">
        <v>113</v>
      </c>
      <c r="U36" s="14" t="s">
        <v>112</v>
      </c>
      <c r="W36" t="s">
        <v>86</v>
      </c>
    </row>
    <row r="37" spans="1:24" x14ac:dyDescent="0.35">
      <c r="H37" s="3"/>
      <c r="N37" s="112" t="s">
        <v>110</v>
      </c>
      <c r="O37" s="112"/>
      <c r="P37" s="112"/>
      <c r="Q37" s="112"/>
      <c r="R37" s="112"/>
      <c r="S37" s="112"/>
      <c r="T37" s="13">
        <f>B33</f>
        <v>3.5333333333333332</v>
      </c>
      <c r="U37" s="12">
        <f>O32</f>
        <v>131.5</v>
      </c>
      <c r="V37">
        <v>131</v>
      </c>
      <c r="W37" t="s">
        <v>87</v>
      </c>
      <c r="X37" s="2" t="e">
        <f>V37+T46</f>
        <v>#VALUE!</v>
      </c>
    </row>
    <row r="38" spans="1:24" x14ac:dyDescent="0.35">
      <c r="E38" t="s">
        <v>75</v>
      </c>
      <c r="F38">
        <f>(12/(F35*F36*(F36+1))*SUMSQ(O32:W32)-3*F35*(F36+1))</f>
        <v>3.6177777777777465</v>
      </c>
      <c r="N38" s="112" t="s">
        <v>108</v>
      </c>
      <c r="O38" s="112"/>
      <c r="P38" s="112"/>
      <c r="Q38" s="112"/>
      <c r="R38" s="112"/>
      <c r="S38" s="112"/>
      <c r="T38" s="13">
        <f>C33</f>
        <v>3.6666666666666665</v>
      </c>
      <c r="U38" s="12">
        <f>P32</f>
        <v>140</v>
      </c>
      <c r="V38">
        <v>135</v>
      </c>
      <c r="W38" t="s">
        <v>87</v>
      </c>
    </row>
    <row r="39" spans="1:24" x14ac:dyDescent="0.35">
      <c r="E39" t="s">
        <v>111</v>
      </c>
      <c r="F39">
        <f>_xlfn.CHISQ.INV.RT(0.05,8)</f>
        <v>15.507313055865453</v>
      </c>
      <c r="N39" s="112" t="s">
        <v>107</v>
      </c>
      <c r="O39" s="112"/>
      <c r="P39" s="112"/>
      <c r="Q39" s="112"/>
      <c r="R39" s="112"/>
      <c r="S39" s="112"/>
      <c r="T39" s="13">
        <f>D33</f>
        <v>3.7</v>
      </c>
      <c r="U39" s="12">
        <f>Q32</f>
        <v>147</v>
      </c>
      <c r="V39">
        <v>139</v>
      </c>
      <c r="W39" t="s">
        <v>87</v>
      </c>
    </row>
    <row r="40" spans="1:24" x14ac:dyDescent="0.35">
      <c r="E40" t="s">
        <v>109</v>
      </c>
      <c r="F40" t="str">
        <f>IF(F38&lt;F39,"H0 Diterima","H0 Ditolak")</f>
        <v>H0 Diterima</v>
      </c>
      <c r="N40" s="112" t="s">
        <v>106</v>
      </c>
      <c r="O40" s="112"/>
      <c r="P40" s="112"/>
      <c r="Q40" s="112"/>
      <c r="R40" s="112"/>
      <c r="S40" s="112"/>
      <c r="T40" s="13">
        <f>E33</f>
        <v>3.9</v>
      </c>
      <c r="U40" s="12">
        <f>R32</f>
        <v>163.5</v>
      </c>
      <c r="V40">
        <v>143</v>
      </c>
      <c r="W40" t="s">
        <v>87</v>
      </c>
    </row>
    <row r="41" spans="1:24" x14ac:dyDescent="0.35">
      <c r="E41" s="96" t="s">
        <v>109</v>
      </c>
      <c r="F41" s="97" t="s">
        <v>258</v>
      </c>
      <c r="G41" s="98"/>
      <c r="H41" s="98" t="s">
        <v>262</v>
      </c>
      <c r="I41" s="98"/>
      <c r="J41" s="98"/>
      <c r="K41" s="98"/>
      <c r="L41" s="98"/>
      <c r="N41" s="112" t="s">
        <v>105</v>
      </c>
      <c r="O41" s="112"/>
      <c r="P41" s="112"/>
      <c r="Q41" s="112"/>
      <c r="R41" s="112"/>
      <c r="S41" s="112"/>
      <c r="T41" s="13">
        <f>F33</f>
        <v>3.7333333333333334</v>
      </c>
      <c r="U41" s="12">
        <f>S32</f>
        <v>152.5</v>
      </c>
      <c r="V41">
        <v>157</v>
      </c>
      <c r="W41" t="s">
        <v>87</v>
      </c>
    </row>
    <row r="42" spans="1:24" x14ac:dyDescent="0.35">
      <c r="E42" t="s">
        <v>259</v>
      </c>
      <c r="F42" t="s">
        <v>260</v>
      </c>
      <c r="H42" t="s">
        <v>261</v>
      </c>
      <c r="N42" s="112" t="s">
        <v>104</v>
      </c>
      <c r="O42" s="112"/>
      <c r="P42" s="112"/>
      <c r="Q42" s="112"/>
      <c r="R42" s="112"/>
      <c r="S42" s="112"/>
      <c r="T42" s="13">
        <f>G33</f>
        <v>3.6666666666666665</v>
      </c>
      <c r="U42" s="12">
        <f>T32</f>
        <v>146</v>
      </c>
      <c r="V42">
        <v>158.5</v>
      </c>
      <c r="W42" t="s">
        <v>87</v>
      </c>
    </row>
    <row r="43" spans="1:24" x14ac:dyDescent="0.35">
      <c r="N43" s="112" t="s">
        <v>103</v>
      </c>
      <c r="O43" s="112"/>
      <c r="P43" s="112"/>
      <c r="Q43" s="112"/>
      <c r="R43" s="112"/>
      <c r="S43" s="112"/>
      <c r="T43" s="13">
        <f>H33</f>
        <v>3.7</v>
      </c>
      <c r="U43" s="12">
        <f>U32</f>
        <v>152</v>
      </c>
      <c r="V43">
        <v>162</v>
      </c>
      <c r="W43" t="s">
        <v>87</v>
      </c>
    </row>
    <row r="44" spans="1:24" x14ac:dyDescent="0.35">
      <c r="N44" s="112" t="s">
        <v>102</v>
      </c>
      <c r="O44" s="112"/>
      <c r="P44" s="112"/>
      <c r="Q44" s="112"/>
      <c r="R44" s="112"/>
      <c r="S44" s="112"/>
      <c r="T44" s="13">
        <f>I33</f>
        <v>3.8</v>
      </c>
      <c r="U44" s="12">
        <f>V32</f>
        <v>158</v>
      </c>
      <c r="V44">
        <v>162.5</v>
      </c>
      <c r="W44" t="s">
        <v>88</v>
      </c>
      <c r="X44" s="2" t="e">
        <f>V44+T46</f>
        <v>#VALUE!</v>
      </c>
    </row>
    <row r="45" spans="1:24" x14ac:dyDescent="0.35">
      <c r="N45" s="112" t="s">
        <v>101</v>
      </c>
      <c r="O45" s="112"/>
      <c r="P45" s="112"/>
      <c r="Q45" s="112"/>
      <c r="R45" s="112"/>
      <c r="S45" s="112"/>
      <c r="T45" s="13">
        <f>J33</f>
        <v>3.8333333333333335</v>
      </c>
      <c r="U45" s="12">
        <f>W32</f>
        <v>159.5</v>
      </c>
      <c r="V45">
        <v>171</v>
      </c>
      <c r="W45" t="s">
        <v>88</v>
      </c>
    </row>
    <row r="46" spans="1:24" x14ac:dyDescent="0.35">
      <c r="N46" s="113" t="s">
        <v>100</v>
      </c>
      <c r="O46" s="114"/>
      <c r="P46" s="114"/>
      <c r="Q46" s="114"/>
      <c r="R46" s="114"/>
      <c r="S46" s="115"/>
      <c r="T46" s="116" t="s">
        <v>84</v>
      </c>
      <c r="U46" s="117"/>
    </row>
  </sheetData>
  <mergeCells count="12">
    <mergeCell ref="N45:S45"/>
    <mergeCell ref="N46:S46"/>
    <mergeCell ref="T46:U46"/>
    <mergeCell ref="N36:S36"/>
    <mergeCell ref="N37:S37"/>
    <mergeCell ref="N38:S38"/>
    <mergeCell ref="N39:S39"/>
    <mergeCell ref="N40:S40"/>
    <mergeCell ref="N41:S41"/>
    <mergeCell ref="N42:S42"/>
    <mergeCell ref="N43:S43"/>
    <mergeCell ref="N44:S44"/>
  </mergeCells>
  <conditionalFormatting sqref="X2:X31">
    <cfRule type="cellIs" dxfId="19" priority="1" operator="greaterThan">
      <formula>45</formula>
    </cfRule>
  </conditionalFormatting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428CA-1600-4306-9DFC-5DD41588D568}">
  <dimension ref="A1:Y55"/>
  <sheetViews>
    <sheetView topLeftCell="A25" zoomScale="70" zoomScaleNormal="70" workbookViewId="0">
      <selection activeCell="L36" sqref="L36"/>
    </sheetView>
  </sheetViews>
  <sheetFormatPr defaultRowHeight="14.5" x14ac:dyDescent="0.35"/>
  <cols>
    <col min="1" max="1" width="10.26953125" customWidth="1"/>
    <col min="11" max="11" width="10.26953125" customWidth="1"/>
    <col min="20" max="20" width="10.54296875" customWidth="1"/>
  </cols>
  <sheetData>
    <row r="1" spans="1:25" x14ac:dyDescent="0.35">
      <c r="A1" t="s">
        <v>154</v>
      </c>
      <c r="B1" t="s">
        <v>153</v>
      </c>
      <c r="C1" t="s">
        <v>152</v>
      </c>
      <c r="D1" t="s">
        <v>151</v>
      </c>
      <c r="E1" t="s">
        <v>150</v>
      </c>
      <c r="F1" t="s">
        <v>149</v>
      </c>
      <c r="G1" t="s">
        <v>148</v>
      </c>
      <c r="H1" t="s">
        <v>147</v>
      </c>
      <c r="I1" t="s">
        <v>146</v>
      </c>
      <c r="J1" t="s">
        <v>145</v>
      </c>
      <c r="K1" t="s">
        <v>54</v>
      </c>
      <c r="L1" t="s">
        <v>93</v>
      </c>
      <c r="N1" t="s">
        <v>154</v>
      </c>
      <c r="O1" t="s">
        <v>153</v>
      </c>
      <c r="P1" t="s">
        <v>152</v>
      </c>
      <c r="Q1" t="s">
        <v>151</v>
      </c>
      <c r="R1" t="s">
        <v>150</v>
      </c>
      <c r="S1" t="s">
        <v>149</v>
      </c>
      <c r="T1" t="s">
        <v>148</v>
      </c>
      <c r="U1" t="s">
        <v>147</v>
      </c>
      <c r="V1" t="s">
        <v>146</v>
      </c>
      <c r="W1" t="s">
        <v>145</v>
      </c>
      <c r="X1" t="s">
        <v>54</v>
      </c>
      <c r="Y1" t="s">
        <v>93</v>
      </c>
    </row>
    <row r="2" spans="1:25" x14ac:dyDescent="0.35">
      <c r="A2" t="s">
        <v>144</v>
      </c>
      <c r="B2">
        <v>4</v>
      </c>
      <c r="C2">
        <v>3</v>
      </c>
      <c r="D2">
        <v>4</v>
      </c>
      <c r="E2">
        <v>3</v>
      </c>
      <c r="F2">
        <v>4</v>
      </c>
      <c r="G2">
        <v>4</v>
      </c>
      <c r="H2">
        <v>3</v>
      </c>
      <c r="I2">
        <v>4</v>
      </c>
      <c r="J2">
        <v>3</v>
      </c>
      <c r="K2">
        <f>SUM(Table1458[[#This Row],[912]:[112]])</f>
        <v>32</v>
      </c>
      <c r="L2" s="4">
        <f>AVERAGE(Table1458[[#This Row],[912]:[112]])</f>
        <v>3.5555555555555554</v>
      </c>
      <c r="N2" t="s">
        <v>144</v>
      </c>
      <c r="O2">
        <v>7</v>
      </c>
      <c r="P2">
        <v>2.5</v>
      </c>
      <c r="Q2">
        <v>7</v>
      </c>
      <c r="R2">
        <v>2.5</v>
      </c>
      <c r="S2">
        <v>7</v>
      </c>
      <c r="T2">
        <v>7</v>
      </c>
      <c r="U2">
        <v>2.5</v>
      </c>
      <c r="V2">
        <v>7</v>
      </c>
      <c r="W2">
        <v>2.5</v>
      </c>
      <c r="X2" s="5">
        <f>SUM(Table14127[[#This Row],[912]:[112]])</f>
        <v>45</v>
      </c>
      <c r="Y2" s="4">
        <f>AVERAGE(Table14127[[#This Row],[912]:[112]])</f>
        <v>5</v>
      </c>
    </row>
    <row r="3" spans="1:25" x14ac:dyDescent="0.35">
      <c r="A3" t="s">
        <v>143</v>
      </c>
      <c r="B3">
        <v>3</v>
      </c>
      <c r="C3">
        <v>3</v>
      </c>
      <c r="D3">
        <v>4</v>
      </c>
      <c r="E3">
        <v>4</v>
      </c>
      <c r="F3">
        <v>3</v>
      </c>
      <c r="G3">
        <v>3</v>
      </c>
      <c r="H3">
        <v>4</v>
      </c>
      <c r="I3">
        <v>4</v>
      </c>
      <c r="J3">
        <v>4</v>
      </c>
      <c r="K3">
        <f>SUM(Table1458[[#This Row],[912]:[112]])</f>
        <v>32</v>
      </c>
      <c r="L3" s="4">
        <f>AVERAGE(Table1458[[#This Row],[912]:[112]])</f>
        <v>3.5555555555555554</v>
      </c>
      <c r="N3" t="s">
        <v>143</v>
      </c>
      <c r="O3">
        <v>2.5</v>
      </c>
      <c r="P3">
        <v>2.5</v>
      </c>
      <c r="Q3">
        <v>7</v>
      </c>
      <c r="R3">
        <v>7</v>
      </c>
      <c r="S3">
        <v>2.5</v>
      </c>
      <c r="T3">
        <v>2.5</v>
      </c>
      <c r="U3">
        <v>7</v>
      </c>
      <c r="V3">
        <v>7</v>
      </c>
      <c r="W3">
        <v>7</v>
      </c>
      <c r="X3">
        <f>SUM(Table14127[[#This Row],[912]:[112]])</f>
        <v>45</v>
      </c>
      <c r="Y3" s="4">
        <f>AVERAGE(Table14127[[#This Row],[912]:[112]])</f>
        <v>5</v>
      </c>
    </row>
    <row r="4" spans="1:25" x14ac:dyDescent="0.35">
      <c r="A4" t="s">
        <v>142</v>
      </c>
      <c r="B4">
        <v>4</v>
      </c>
      <c r="C4">
        <v>3</v>
      </c>
      <c r="D4">
        <v>3</v>
      </c>
      <c r="E4">
        <v>4</v>
      </c>
      <c r="F4">
        <v>4</v>
      </c>
      <c r="G4">
        <v>3</v>
      </c>
      <c r="H4">
        <v>4</v>
      </c>
      <c r="I4">
        <v>4</v>
      </c>
      <c r="J4">
        <v>5</v>
      </c>
      <c r="K4">
        <f>SUM(Table1458[[#This Row],[912]:[112]])</f>
        <v>34</v>
      </c>
      <c r="L4" s="4">
        <f>AVERAGE(Table1458[[#This Row],[912]:[112]])</f>
        <v>3.7777777777777777</v>
      </c>
      <c r="N4" t="s">
        <v>142</v>
      </c>
      <c r="O4">
        <v>6</v>
      </c>
      <c r="P4">
        <v>2</v>
      </c>
      <c r="Q4">
        <v>2</v>
      </c>
      <c r="R4">
        <v>6</v>
      </c>
      <c r="S4">
        <v>6</v>
      </c>
      <c r="T4">
        <v>2</v>
      </c>
      <c r="U4">
        <v>6</v>
      </c>
      <c r="V4">
        <v>6</v>
      </c>
      <c r="W4">
        <v>9</v>
      </c>
      <c r="X4">
        <f>SUM(Table14127[[#This Row],[912]:[112]])</f>
        <v>45</v>
      </c>
      <c r="Y4" s="4">
        <f>AVERAGE(Table14127[[#This Row],[912]:[112]])</f>
        <v>5</v>
      </c>
    </row>
    <row r="5" spans="1:25" x14ac:dyDescent="0.35">
      <c r="A5" t="s">
        <v>141</v>
      </c>
      <c r="B5">
        <v>2</v>
      </c>
      <c r="C5">
        <v>3</v>
      </c>
      <c r="D5">
        <v>3</v>
      </c>
      <c r="E5">
        <v>3</v>
      </c>
      <c r="F5">
        <v>3</v>
      </c>
      <c r="G5">
        <v>4</v>
      </c>
      <c r="H5">
        <v>4</v>
      </c>
      <c r="I5">
        <v>4</v>
      </c>
      <c r="J5">
        <v>4</v>
      </c>
      <c r="K5">
        <f>SUM(Table1458[[#This Row],[912]:[112]])</f>
        <v>30</v>
      </c>
      <c r="L5" s="4">
        <f>AVERAGE(Table1458[[#This Row],[912]:[112]])</f>
        <v>3.3333333333333335</v>
      </c>
      <c r="N5" t="s">
        <v>141</v>
      </c>
      <c r="O5">
        <v>1</v>
      </c>
      <c r="P5">
        <v>3.5</v>
      </c>
      <c r="Q5">
        <v>3.5</v>
      </c>
      <c r="R5">
        <v>3.5</v>
      </c>
      <c r="S5">
        <v>3.5</v>
      </c>
      <c r="T5">
        <v>7.5</v>
      </c>
      <c r="U5">
        <v>7.5</v>
      </c>
      <c r="V5">
        <v>7.5</v>
      </c>
      <c r="W5">
        <v>7.5</v>
      </c>
      <c r="X5" s="5">
        <f>SUM(Table14127[[#This Row],[912]:[112]])</f>
        <v>45</v>
      </c>
      <c r="Y5" s="4">
        <f>AVERAGE(Table14127[[#This Row],[912]:[112]])</f>
        <v>5</v>
      </c>
    </row>
    <row r="6" spans="1:25" x14ac:dyDescent="0.35">
      <c r="A6" t="s">
        <v>140</v>
      </c>
      <c r="B6">
        <v>3</v>
      </c>
      <c r="C6">
        <v>5</v>
      </c>
      <c r="D6">
        <v>3</v>
      </c>
      <c r="E6">
        <v>4</v>
      </c>
      <c r="F6">
        <v>4</v>
      </c>
      <c r="G6">
        <v>4</v>
      </c>
      <c r="H6">
        <v>4</v>
      </c>
      <c r="I6">
        <v>4</v>
      </c>
      <c r="J6">
        <v>3</v>
      </c>
      <c r="K6">
        <f>SUM(Table1458[[#This Row],[912]:[112]])</f>
        <v>34</v>
      </c>
      <c r="L6" s="4">
        <f>AVERAGE(Table1458[[#This Row],[912]:[112]])</f>
        <v>3.7777777777777777</v>
      </c>
      <c r="N6" t="s">
        <v>140</v>
      </c>
      <c r="O6">
        <v>2</v>
      </c>
      <c r="P6">
        <v>9</v>
      </c>
      <c r="Q6">
        <v>2</v>
      </c>
      <c r="R6">
        <v>6</v>
      </c>
      <c r="S6">
        <v>6</v>
      </c>
      <c r="T6">
        <v>6</v>
      </c>
      <c r="U6">
        <v>6</v>
      </c>
      <c r="V6">
        <v>6</v>
      </c>
      <c r="W6">
        <v>2</v>
      </c>
      <c r="X6">
        <f>SUM(Table14127[[#This Row],[912]:[112]])</f>
        <v>45</v>
      </c>
      <c r="Y6" s="4">
        <f>AVERAGE(Table14127[[#This Row],[912]:[112]])</f>
        <v>5</v>
      </c>
    </row>
    <row r="7" spans="1:25" x14ac:dyDescent="0.35">
      <c r="A7" t="s">
        <v>139</v>
      </c>
      <c r="B7">
        <v>4</v>
      </c>
      <c r="C7">
        <v>3</v>
      </c>
      <c r="D7">
        <v>2</v>
      </c>
      <c r="E7">
        <v>3</v>
      </c>
      <c r="F7">
        <v>2</v>
      </c>
      <c r="G7">
        <v>3</v>
      </c>
      <c r="H7">
        <v>4</v>
      </c>
      <c r="I7">
        <v>5</v>
      </c>
      <c r="J7">
        <v>5</v>
      </c>
      <c r="K7">
        <f>SUM(Table1458[[#This Row],[912]:[112]])</f>
        <v>31</v>
      </c>
      <c r="L7" s="4">
        <f>AVERAGE(Table1458[[#This Row],[912]:[112]])</f>
        <v>3.4444444444444446</v>
      </c>
      <c r="N7" t="s">
        <v>139</v>
      </c>
      <c r="O7">
        <v>6.5</v>
      </c>
      <c r="P7">
        <v>4</v>
      </c>
      <c r="Q7">
        <v>1.5</v>
      </c>
      <c r="R7">
        <v>4</v>
      </c>
      <c r="S7">
        <v>1.5</v>
      </c>
      <c r="T7">
        <v>4</v>
      </c>
      <c r="U7">
        <v>6.5</v>
      </c>
      <c r="V7">
        <v>8.5</v>
      </c>
      <c r="W7">
        <v>8.5</v>
      </c>
      <c r="X7" s="5">
        <f>SUM(Table14127[[#This Row],[912]:[112]])</f>
        <v>45</v>
      </c>
      <c r="Y7" s="4">
        <f>AVERAGE(Table14127[[#This Row],[912]:[112]])</f>
        <v>5</v>
      </c>
    </row>
    <row r="8" spans="1:25" x14ac:dyDescent="0.35">
      <c r="A8" t="s">
        <v>138</v>
      </c>
      <c r="B8">
        <v>3</v>
      </c>
      <c r="C8">
        <v>3</v>
      </c>
      <c r="D8">
        <v>2</v>
      </c>
      <c r="E8">
        <v>3</v>
      </c>
      <c r="F8">
        <v>4</v>
      </c>
      <c r="G8">
        <v>5</v>
      </c>
      <c r="H8">
        <v>4</v>
      </c>
      <c r="I8">
        <v>2</v>
      </c>
      <c r="J8">
        <v>3</v>
      </c>
      <c r="K8">
        <f>SUM(Table1458[[#This Row],[912]:[112]])</f>
        <v>29</v>
      </c>
      <c r="L8" s="4">
        <f>AVERAGE(Table1458[[#This Row],[912]:[112]])</f>
        <v>3.2222222222222223</v>
      </c>
      <c r="N8" t="s">
        <v>138</v>
      </c>
      <c r="O8">
        <v>4.5</v>
      </c>
      <c r="P8">
        <v>4.5</v>
      </c>
      <c r="Q8">
        <v>1.5</v>
      </c>
      <c r="R8">
        <v>4.5</v>
      </c>
      <c r="S8">
        <v>7.5</v>
      </c>
      <c r="T8">
        <v>9</v>
      </c>
      <c r="U8">
        <v>7.5</v>
      </c>
      <c r="V8">
        <v>1.5</v>
      </c>
      <c r="W8">
        <v>4.5</v>
      </c>
      <c r="X8" s="5">
        <f>SUM(Table14127[[#This Row],[912]:[112]])</f>
        <v>45</v>
      </c>
      <c r="Y8" s="4">
        <f>AVERAGE(Table14127[[#This Row],[912]:[112]])</f>
        <v>5</v>
      </c>
    </row>
    <row r="9" spans="1:25" x14ac:dyDescent="0.35">
      <c r="A9" t="s">
        <v>137</v>
      </c>
      <c r="B9">
        <v>1</v>
      </c>
      <c r="C9">
        <v>4</v>
      </c>
      <c r="D9">
        <v>2</v>
      </c>
      <c r="E9">
        <v>4</v>
      </c>
      <c r="F9">
        <v>4</v>
      </c>
      <c r="G9">
        <v>2</v>
      </c>
      <c r="H9">
        <v>4</v>
      </c>
      <c r="I9">
        <v>2</v>
      </c>
      <c r="J9">
        <v>4</v>
      </c>
      <c r="K9">
        <f>SUM(Table1458[[#This Row],[912]:[112]])</f>
        <v>27</v>
      </c>
      <c r="L9">
        <f>AVERAGE(Table1458[[#This Row],[912]:[112]])</f>
        <v>3</v>
      </c>
      <c r="N9" t="s">
        <v>137</v>
      </c>
      <c r="O9">
        <v>1</v>
      </c>
      <c r="P9">
        <v>7</v>
      </c>
      <c r="Q9">
        <v>3</v>
      </c>
      <c r="R9">
        <v>7</v>
      </c>
      <c r="S9">
        <v>7</v>
      </c>
      <c r="T9">
        <v>3</v>
      </c>
      <c r="U9">
        <v>7</v>
      </c>
      <c r="V9">
        <v>3</v>
      </c>
      <c r="W9">
        <v>7</v>
      </c>
      <c r="X9">
        <f>SUM(Table14127[[#This Row],[912]:[112]])</f>
        <v>45</v>
      </c>
      <c r="Y9" s="4">
        <f>AVERAGE(Table14127[[#This Row],[912]:[112]])</f>
        <v>5</v>
      </c>
    </row>
    <row r="10" spans="1:25" x14ac:dyDescent="0.35">
      <c r="A10" t="s">
        <v>136</v>
      </c>
      <c r="B10">
        <v>4</v>
      </c>
      <c r="C10">
        <v>4</v>
      </c>
      <c r="D10">
        <v>4</v>
      </c>
      <c r="E10">
        <v>4</v>
      </c>
      <c r="F10">
        <v>4</v>
      </c>
      <c r="G10">
        <v>4</v>
      </c>
      <c r="H10">
        <v>4</v>
      </c>
      <c r="I10">
        <v>4</v>
      </c>
      <c r="J10">
        <v>4</v>
      </c>
      <c r="K10">
        <f>SUM(Table1458[[#This Row],[912]:[112]])</f>
        <v>36</v>
      </c>
      <c r="L10">
        <f>AVERAGE(Table1458[[#This Row],[912]:[112]])</f>
        <v>4</v>
      </c>
      <c r="N10" t="s">
        <v>136</v>
      </c>
      <c r="O10">
        <v>5</v>
      </c>
      <c r="P10">
        <v>5</v>
      </c>
      <c r="Q10">
        <v>5</v>
      </c>
      <c r="R10">
        <v>5</v>
      </c>
      <c r="S10">
        <v>5</v>
      </c>
      <c r="T10">
        <v>5</v>
      </c>
      <c r="U10">
        <v>5</v>
      </c>
      <c r="V10">
        <v>5</v>
      </c>
      <c r="W10">
        <v>5</v>
      </c>
      <c r="X10">
        <f>SUM(Table14127[[#This Row],[912]:[112]])</f>
        <v>45</v>
      </c>
      <c r="Y10" s="4">
        <f>AVERAGE(Table14127[[#This Row],[912]:[112]])</f>
        <v>5</v>
      </c>
    </row>
    <row r="11" spans="1:25" x14ac:dyDescent="0.35">
      <c r="A11" t="s">
        <v>135</v>
      </c>
      <c r="B11">
        <v>4</v>
      </c>
      <c r="C11">
        <v>4</v>
      </c>
      <c r="D11">
        <v>4</v>
      </c>
      <c r="E11">
        <v>4</v>
      </c>
      <c r="F11">
        <v>4</v>
      </c>
      <c r="G11">
        <v>4</v>
      </c>
      <c r="H11">
        <v>4</v>
      </c>
      <c r="I11">
        <v>4</v>
      </c>
      <c r="J11">
        <v>4</v>
      </c>
      <c r="K11">
        <f>SUM(Table1458[[#This Row],[912]:[112]])</f>
        <v>36</v>
      </c>
      <c r="L11">
        <f>AVERAGE(Table1458[[#This Row],[912]:[112]])</f>
        <v>4</v>
      </c>
      <c r="N11" t="s">
        <v>135</v>
      </c>
      <c r="O11">
        <v>5</v>
      </c>
      <c r="P11">
        <v>5</v>
      </c>
      <c r="Q11">
        <v>5</v>
      </c>
      <c r="R11">
        <v>5</v>
      </c>
      <c r="S11">
        <v>5</v>
      </c>
      <c r="T11">
        <v>5</v>
      </c>
      <c r="U11">
        <v>5</v>
      </c>
      <c r="V11">
        <v>5</v>
      </c>
      <c r="W11">
        <v>5</v>
      </c>
      <c r="X11">
        <f>SUM(Table14127[[#This Row],[912]:[112]])</f>
        <v>45</v>
      </c>
      <c r="Y11" s="4">
        <f>AVERAGE(Table14127[[#This Row],[912]:[112]])</f>
        <v>5</v>
      </c>
    </row>
    <row r="12" spans="1:25" x14ac:dyDescent="0.35">
      <c r="A12" t="s">
        <v>134</v>
      </c>
      <c r="B12">
        <v>4</v>
      </c>
      <c r="C12">
        <v>5</v>
      </c>
      <c r="D12">
        <v>4</v>
      </c>
      <c r="E12">
        <v>4</v>
      </c>
      <c r="F12">
        <v>5</v>
      </c>
      <c r="G12">
        <v>4</v>
      </c>
      <c r="H12">
        <v>5</v>
      </c>
      <c r="I12">
        <v>5</v>
      </c>
      <c r="J12">
        <v>1</v>
      </c>
      <c r="K12">
        <f>SUM(Table1458[[#This Row],[912]:[112]])</f>
        <v>37</v>
      </c>
      <c r="L12" s="4">
        <f>AVERAGE(Table1458[[#This Row],[912]:[112]])</f>
        <v>4.1111111111111107</v>
      </c>
      <c r="N12" t="s">
        <v>134</v>
      </c>
      <c r="O12">
        <v>3.5</v>
      </c>
      <c r="P12">
        <v>7.5</v>
      </c>
      <c r="Q12">
        <v>3.5</v>
      </c>
      <c r="R12">
        <v>3.5</v>
      </c>
      <c r="S12">
        <v>7.5</v>
      </c>
      <c r="T12">
        <v>3.5</v>
      </c>
      <c r="U12">
        <v>7.5</v>
      </c>
      <c r="V12">
        <v>7.5</v>
      </c>
      <c r="W12">
        <v>1</v>
      </c>
      <c r="X12">
        <f>SUM(Table14127[[#This Row],[912]:[112]])</f>
        <v>45</v>
      </c>
      <c r="Y12" s="4">
        <f>AVERAGE(Table14127[[#This Row],[912]:[112]])</f>
        <v>5</v>
      </c>
    </row>
    <row r="13" spans="1:25" x14ac:dyDescent="0.35">
      <c r="A13" t="s">
        <v>133</v>
      </c>
      <c r="B13">
        <v>3</v>
      </c>
      <c r="C13">
        <v>3</v>
      </c>
      <c r="D13">
        <v>4</v>
      </c>
      <c r="E13">
        <v>5</v>
      </c>
      <c r="F13">
        <v>5</v>
      </c>
      <c r="G13">
        <v>5</v>
      </c>
      <c r="H13">
        <v>5</v>
      </c>
      <c r="I13">
        <v>3</v>
      </c>
      <c r="J13">
        <v>5</v>
      </c>
      <c r="K13">
        <f>SUM(Table1458[[#This Row],[912]:[112]])</f>
        <v>38</v>
      </c>
      <c r="L13" s="4">
        <f>AVERAGE(Table1458[[#This Row],[912]:[112]])</f>
        <v>4.2222222222222223</v>
      </c>
      <c r="N13" t="s">
        <v>133</v>
      </c>
      <c r="O13">
        <v>2</v>
      </c>
      <c r="P13">
        <v>2</v>
      </c>
      <c r="Q13">
        <v>4</v>
      </c>
      <c r="R13">
        <v>7</v>
      </c>
      <c r="S13">
        <v>7</v>
      </c>
      <c r="T13">
        <v>7</v>
      </c>
      <c r="U13">
        <v>7</v>
      </c>
      <c r="V13">
        <v>2</v>
      </c>
      <c r="W13">
        <v>7</v>
      </c>
      <c r="X13">
        <f>SUM(Table14127[[#This Row],[912]:[112]])</f>
        <v>45</v>
      </c>
      <c r="Y13" s="4">
        <f>AVERAGE(Table14127[[#This Row],[912]:[112]])</f>
        <v>5</v>
      </c>
    </row>
    <row r="14" spans="1:25" x14ac:dyDescent="0.35">
      <c r="A14" t="s">
        <v>132</v>
      </c>
      <c r="B14">
        <v>3</v>
      </c>
      <c r="C14">
        <v>4</v>
      </c>
      <c r="D14">
        <v>3</v>
      </c>
      <c r="E14">
        <v>3</v>
      </c>
      <c r="F14">
        <v>3</v>
      </c>
      <c r="G14">
        <v>4</v>
      </c>
      <c r="H14">
        <v>3</v>
      </c>
      <c r="I14">
        <v>4</v>
      </c>
      <c r="J14">
        <v>3</v>
      </c>
      <c r="K14">
        <f>SUM(Table1458[[#This Row],[912]:[112]])</f>
        <v>30</v>
      </c>
      <c r="L14" s="4">
        <f>AVERAGE(Table1458[[#This Row],[912]:[112]])</f>
        <v>3.3333333333333335</v>
      </c>
      <c r="N14" t="s">
        <v>132</v>
      </c>
      <c r="O14">
        <v>3.5</v>
      </c>
      <c r="P14">
        <v>8</v>
      </c>
      <c r="Q14">
        <v>3.5</v>
      </c>
      <c r="R14">
        <v>3.5</v>
      </c>
      <c r="S14">
        <v>3.5</v>
      </c>
      <c r="T14">
        <v>8</v>
      </c>
      <c r="U14">
        <v>3.5</v>
      </c>
      <c r="V14">
        <v>8</v>
      </c>
      <c r="W14">
        <v>3.5</v>
      </c>
      <c r="X14" s="5">
        <f>SUM(Table14127[[#This Row],[912]:[112]])</f>
        <v>45</v>
      </c>
      <c r="Y14" s="4">
        <f>AVERAGE(Table14127[[#This Row],[912]:[112]])</f>
        <v>5</v>
      </c>
    </row>
    <row r="15" spans="1:25" x14ac:dyDescent="0.35">
      <c r="A15" t="s">
        <v>131</v>
      </c>
      <c r="B15">
        <v>3</v>
      </c>
      <c r="C15">
        <v>3</v>
      </c>
      <c r="D15">
        <v>2</v>
      </c>
      <c r="E15">
        <v>4</v>
      </c>
      <c r="F15">
        <v>2</v>
      </c>
      <c r="G15">
        <v>3</v>
      </c>
      <c r="H15">
        <v>4</v>
      </c>
      <c r="I15">
        <v>2</v>
      </c>
      <c r="J15">
        <v>2</v>
      </c>
      <c r="K15">
        <f>SUM(Table1458[[#This Row],[912]:[112]])</f>
        <v>25</v>
      </c>
      <c r="L15" s="4">
        <f>AVERAGE(Table1458[[#This Row],[912]:[112]])</f>
        <v>2.7777777777777777</v>
      </c>
      <c r="N15" t="s">
        <v>131</v>
      </c>
      <c r="O15">
        <v>6</v>
      </c>
      <c r="P15">
        <v>6</v>
      </c>
      <c r="Q15">
        <v>2.5</v>
      </c>
      <c r="R15">
        <v>8.5</v>
      </c>
      <c r="S15">
        <v>2.5</v>
      </c>
      <c r="T15">
        <v>6</v>
      </c>
      <c r="U15">
        <v>8.5</v>
      </c>
      <c r="V15">
        <v>2.5</v>
      </c>
      <c r="W15">
        <v>2.5</v>
      </c>
      <c r="X15" s="5">
        <f>SUM(Table14127[[#This Row],[912]:[112]])</f>
        <v>45</v>
      </c>
      <c r="Y15" s="4">
        <f>AVERAGE(Table14127[[#This Row],[912]:[112]])</f>
        <v>5</v>
      </c>
    </row>
    <row r="16" spans="1:25" x14ac:dyDescent="0.35">
      <c r="A16" t="s">
        <v>130</v>
      </c>
      <c r="B16">
        <v>4</v>
      </c>
      <c r="C16">
        <v>4</v>
      </c>
      <c r="D16">
        <v>3</v>
      </c>
      <c r="E16">
        <v>3</v>
      </c>
      <c r="F16">
        <v>4</v>
      </c>
      <c r="G16">
        <v>4</v>
      </c>
      <c r="H16">
        <v>3</v>
      </c>
      <c r="I16">
        <v>4</v>
      </c>
      <c r="J16">
        <v>3</v>
      </c>
      <c r="K16">
        <f>SUM(Table1458[[#This Row],[912]:[112]])</f>
        <v>32</v>
      </c>
      <c r="L16" s="4">
        <f>AVERAGE(Table1458[[#This Row],[912]:[112]])</f>
        <v>3.5555555555555554</v>
      </c>
      <c r="N16" t="s">
        <v>130</v>
      </c>
      <c r="O16">
        <v>7</v>
      </c>
      <c r="P16">
        <v>7</v>
      </c>
      <c r="Q16">
        <v>2.5</v>
      </c>
      <c r="R16">
        <v>2.5</v>
      </c>
      <c r="S16">
        <v>7</v>
      </c>
      <c r="T16">
        <v>7</v>
      </c>
      <c r="U16">
        <v>2.5</v>
      </c>
      <c r="V16">
        <v>7</v>
      </c>
      <c r="W16">
        <v>2.5</v>
      </c>
      <c r="X16" s="5">
        <f>SUM(Table14127[[#This Row],[912]:[112]])</f>
        <v>45</v>
      </c>
      <c r="Y16" s="4">
        <f>AVERAGE(Table14127[[#This Row],[912]:[112]])</f>
        <v>5</v>
      </c>
    </row>
    <row r="17" spans="1:25" x14ac:dyDescent="0.35">
      <c r="A17" t="s">
        <v>129</v>
      </c>
      <c r="B17">
        <v>3</v>
      </c>
      <c r="C17">
        <v>2</v>
      </c>
      <c r="D17">
        <v>3</v>
      </c>
      <c r="E17">
        <v>4</v>
      </c>
      <c r="F17">
        <v>1</v>
      </c>
      <c r="G17">
        <v>4</v>
      </c>
      <c r="H17">
        <v>2</v>
      </c>
      <c r="I17">
        <v>1</v>
      </c>
      <c r="J17">
        <v>4</v>
      </c>
      <c r="K17">
        <f>SUM(Table1458[[#This Row],[912]:[112]])</f>
        <v>24</v>
      </c>
      <c r="L17" s="4">
        <f>AVERAGE(Table1458[[#This Row],[912]:[112]])</f>
        <v>2.6666666666666665</v>
      </c>
      <c r="N17" t="s">
        <v>129</v>
      </c>
      <c r="O17">
        <v>5.5</v>
      </c>
      <c r="P17">
        <v>3.5</v>
      </c>
      <c r="Q17">
        <v>5.5</v>
      </c>
      <c r="R17">
        <v>8</v>
      </c>
      <c r="S17">
        <v>1.5</v>
      </c>
      <c r="T17">
        <v>8</v>
      </c>
      <c r="U17">
        <v>3.5</v>
      </c>
      <c r="V17">
        <v>1.5</v>
      </c>
      <c r="W17">
        <v>8</v>
      </c>
      <c r="X17">
        <f>SUM(Table14127[[#This Row],[912]:[112]])</f>
        <v>45</v>
      </c>
      <c r="Y17" s="4">
        <f>AVERAGE(Table14127[[#This Row],[912]:[112]])</f>
        <v>5</v>
      </c>
    </row>
    <row r="18" spans="1:25" x14ac:dyDescent="0.35">
      <c r="A18" t="s">
        <v>128</v>
      </c>
      <c r="B18">
        <v>4</v>
      </c>
      <c r="C18">
        <v>4</v>
      </c>
      <c r="D18">
        <v>5</v>
      </c>
      <c r="E18">
        <v>4</v>
      </c>
      <c r="F18">
        <v>5</v>
      </c>
      <c r="G18">
        <v>5</v>
      </c>
      <c r="H18">
        <v>5</v>
      </c>
      <c r="I18">
        <v>5</v>
      </c>
      <c r="J18">
        <v>5</v>
      </c>
      <c r="K18">
        <f>SUM(Table1458[[#This Row],[912]:[112]])</f>
        <v>42</v>
      </c>
      <c r="L18" s="4">
        <f>AVERAGE(Table1458[[#This Row],[912]:[112]])</f>
        <v>4.666666666666667</v>
      </c>
      <c r="N18" t="s">
        <v>128</v>
      </c>
      <c r="O18">
        <v>2</v>
      </c>
      <c r="P18">
        <v>2</v>
      </c>
      <c r="Q18">
        <v>6.5</v>
      </c>
      <c r="R18">
        <v>2</v>
      </c>
      <c r="S18">
        <v>6.5</v>
      </c>
      <c r="T18">
        <v>6.5</v>
      </c>
      <c r="U18">
        <v>6.5</v>
      </c>
      <c r="V18">
        <v>6.5</v>
      </c>
      <c r="W18">
        <v>6.5</v>
      </c>
      <c r="X18" s="5">
        <f>SUM(Table14127[[#This Row],[912]:[112]])</f>
        <v>45</v>
      </c>
      <c r="Y18" s="4">
        <f>AVERAGE(Table14127[[#This Row],[912]:[112]])</f>
        <v>5</v>
      </c>
    </row>
    <row r="19" spans="1:25" x14ac:dyDescent="0.35">
      <c r="A19" t="s">
        <v>127</v>
      </c>
      <c r="B19">
        <v>4</v>
      </c>
      <c r="C19">
        <v>4</v>
      </c>
      <c r="D19">
        <v>3</v>
      </c>
      <c r="E19">
        <v>3</v>
      </c>
      <c r="F19">
        <v>2</v>
      </c>
      <c r="G19">
        <v>3</v>
      </c>
      <c r="H19">
        <v>2</v>
      </c>
      <c r="I19">
        <v>3</v>
      </c>
      <c r="J19">
        <v>3</v>
      </c>
      <c r="K19">
        <f>SUM(Table1458[[#This Row],[912]:[112]])</f>
        <v>27</v>
      </c>
      <c r="L19">
        <f>AVERAGE(Table1458[[#This Row],[912]:[112]])</f>
        <v>3</v>
      </c>
      <c r="N19" t="s">
        <v>127</v>
      </c>
      <c r="O19">
        <v>8.5</v>
      </c>
      <c r="P19">
        <v>8.5</v>
      </c>
      <c r="Q19">
        <v>5</v>
      </c>
      <c r="R19">
        <v>5</v>
      </c>
      <c r="S19">
        <v>1.5</v>
      </c>
      <c r="T19">
        <v>5</v>
      </c>
      <c r="U19">
        <v>1.5</v>
      </c>
      <c r="V19">
        <v>5</v>
      </c>
      <c r="W19">
        <v>5</v>
      </c>
      <c r="X19">
        <f>SUM(Table14127[[#This Row],[912]:[112]])</f>
        <v>45</v>
      </c>
      <c r="Y19" s="4">
        <f>AVERAGE(Table14127[[#This Row],[912]:[112]])</f>
        <v>5</v>
      </c>
    </row>
    <row r="20" spans="1:25" x14ac:dyDescent="0.35">
      <c r="A20" t="s">
        <v>126</v>
      </c>
      <c r="B20">
        <v>4</v>
      </c>
      <c r="C20">
        <v>3</v>
      </c>
      <c r="D20">
        <v>4</v>
      </c>
      <c r="E20">
        <v>2</v>
      </c>
      <c r="F20">
        <v>3</v>
      </c>
      <c r="G20">
        <v>3</v>
      </c>
      <c r="H20">
        <v>3</v>
      </c>
      <c r="I20">
        <v>3</v>
      </c>
      <c r="J20">
        <v>4</v>
      </c>
      <c r="K20">
        <f>SUM(Table1458[[#This Row],[912]:[112]])</f>
        <v>29</v>
      </c>
      <c r="L20" s="4">
        <f>AVERAGE(Table1458[[#This Row],[912]:[112]])</f>
        <v>3.2222222222222223</v>
      </c>
      <c r="N20" t="s">
        <v>126</v>
      </c>
      <c r="O20">
        <v>8</v>
      </c>
      <c r="P20">
        <v>4</v>
      </c>
      <c r="Q20">
        <v>8</v>
      </c>
      <c r="R20">
        <v>1</v>
      </c>
      <c r="S20">
        <v>4</v>
      </c>
      <c r="T20">
        <v>4</v>
      </c>
      <c r="U20">
        <v>4</v>
      </c>
      <c r="V20">
        <v>4</v>
      </c>
      <c r="W20">
        <v>8</v>
      </c>
      <c r="X20">
        <f>SUM(Table14127[[#This Row],[912]:[112]])</f>
        <v>45</v>
      </c>
      <c r="Y20" s="4">
        <f>AVERAGE(Table14127[[#This Row],[912]:[112]])</f>
        <v>5</v>
      </c>
    </row>
    <row r="21" spans="1:25" x14ac:dyDescent="0.35">
      <c r="A21" t="s">
        <v>125</v>
      </c>
      <c r="B21">
        <v>3</v>
      </c>
      <c r="C21">
        <v>2</v>
      </c>
      <c r="D21">
        <v>3</v>
      </c>
      <c r="E21">
        <v>3</v>
      </c>
      <c r="F21">
        <v>4</v>
      </c>
      <c r="G21">
        <v>4</v>
      </c>
      <c r="H21">
        <v>4</v>
      </c>
      <c r="I21">
        <v>5</v>
      </c>
      <c r="J21">
        <v>5</v>
      </c>
      <c r="K21">
        <f>SUM(Table1458[[#This Row],[912]:[112]])</f>
        <v>33</v>
      </c>
      <c r="L21" s="4">
        <f>AVERAGE(Table1458[[#This Row],[912]:[112]])</f>
        <v>3.6666666666666665</v>
      </c>
      <c r="N21" t="s">
        <v>125</v>
      </c>
      <c r="O21">
        <v>3</v>
      </c>
      <c r="P21">
        <v>1</v>
      </c>
      <c r="Q21">
        <v>3</v>
      </c>
      <c r="R21">
        <v>3</v>
      </c>
      <c r="S21">
        <v>6</v>
      </c>
      <c r="T21">
        <v>6</v>
      </c>
      <c r="U21">
        <v>6</v>
      </c>
      <c r="V21">
        <v>8.5</v>
      </c>
      <c r="W21">
        <v>8.5</v>
      </c>
      <c r="X21" s="5">
        <f>SUM(Table14127[[#This Row],[912]:[112]])</f>
        <v>45</v>
      </c>
      <c r="Y21" s="4">
        <f>AVERAGE(Table14127[[#This Row],[912]:[112]])</f>
        <v>5</v>
      </c>
    </row>
    <row r="22" spans="1:25" x14ac:dyDescent="0.35">
      <c r="A22" t="s">
        <v>124</v>
      </c>
      <c r="B22">
        <v>3</v>
      </c>
      <c r="C22">
        <v>4</v>
      </c>
      <c r="D22">
        <v>4</v>
      </c>
      <c r="E22">
        <v>4</v>
      </c>
      <c r="F22">
        <v>3</v>
      </c>
      <c r="G22">
        <v>3</v>
      </c>
      <c r="H22">
        <v>4</v>
      </c>
      <c r="I22">
        <v>4</v>
      </c>
      <c r="J22">
        <v>4</v>
      </c>
      <c r="K22">
        <f>SUM(Table1458[[#This Row],[912]:[112]])</f>
        <v>33</v>
      </c>
      <c r="L22" s="4">
        <f>AVERAGE(Table1458[[#This Row],[912]:[112]])</f>
        <v>3.6666666666666665</v>
      </c>
      <c r="N22" t="s">
        <v>124</v>
      </c>
      <c r="O22">
        <v>2</v>
      </c>
      <c r="P22">
        <v>6.5</v>
      </c>
      <c r="Q22">
        <v>6.5</v>
      </c>
      <c r="R22">
        <v>6.5</v>
      </c>
      <c r="S22">
        <v>2</v>
      </c>
      <c r="T22">
        <v>2</v>
      </c>
      <c r="U22">
        <v>6.5</v>
      </c>
      <c r="V22">
        <v>6.5</v>
      </c>
      <c r="W22">
        <v>6.5</v>
      </c>
      <c r="X22" s="5">
        <f>SUM(Table14127[[#This Row],[912]:[112]])</f>
        <v>45</v>
      </c>
      <c r="Y22" s="4">
        <f>AVERAGE(Table14127[[#This Row],[912]:[112]])</f>
        <v>5</v>
      </c>
    </row>
    <row r="23" spans="1:25" x14ac:dyDescent="0.35">
      <c r="A23" t="s">
        <v>123</v>
      </c>
      <c r="B23">
        <v>2</v>
      </c>
      <c r="C23">
        <v>2</v>
      </c>
      <c r="D23">
        <v>3</v>
      </c>
      <c r="E23">
        <v>4</v>
      </c>
      <c r="F23">
        <v>3</v>
      </c>
      <c r="G23">
        <v>3</v>
      </c>
      <c r="H23">
        <v>3</v>
      </c>
      <c r="I23">
        <v>4</v>
      </c>
      <c r="J23">
        <v>4</v>
      </c>
      <c r="K23">
        <f>SUM(Table1458[[#This Row],[912]:[112]])</f>
        <v>28</v>
      </c>
      <c r="L23" s="4">
        <f>AVERAGE(Table1458[[#This Row],[912]:[112]])</f>
        <v>3.1111111111111112</v>
      </c>
      <c r="N23" t="s">
        <v>123</v>
      </c>
      <c r="O23">
        <v>1.5</v>
      </c>
      <c r="P23">
        <v>1.5</v>
      </c>
      <c r="Q23">
        <v>4.5</v>
      </c>
      <c r="R23">
        <v>8</v>
      </c>
      <c r="S23">
        <v>4.5</v>
      </c>
      <c r="T23">
        <v>4.5</v>
      </c>
      <c r="U23">
        <v>4.5</v>
      </c>
      <c r="V23">
        <v>8</v>
      </c>
      <c r="W23">
        <v>8</v>
      </c>
      <c r="X23">
        <f>SUM(Table14127[[#This Row],[912]:[112]])</f>
        <v>45</v>
      </c>
      <c r="Y23" s="4">
        <f>AVERAGE(Table14127[[#This Row],[912]:[112]])</f>
        <v>5</v>
      </c>
    </row>
    <row r="24" spans="1:25" x14ac:dyDescent="0.35">
      <c r="A24" t="s">
        <v>122</v>
      </c>
      <c r="B24">
        <v>3</v>
      </c>
      <c r="C24">
        <v>2</v>
      </c>
      <c r="D24">
        <v>4</v>
      </c>
      <c r="E24">
        <v>4</v>
      </c>
      <c r="F24">
        <v>3</v>
      </c>
      <c r="G24">
        <v>3</v>
      </c>
      <c r="H24">
        <v>2</v>
      </c>
      <c r="I24">
        <v>3</v>
      </c>
      <c r="J24">
        <v>3</v>
      </c>
      <c r="K24">
        <f>SUM(Table1458[[#This Row],[912]:[112]])</f>
        <v>27</v>
      </c>
      <c r="L24">
        <f>AVERAGE(Table1458[[#This Row],[912]:[112]])</f>
        <v>3</v>
      </c>
      <c r="N24" t="s">
        <v>122</v>
      </c>
      <c r="O24">
        <v>5</v>
      </c>
      <c r="P24">
        <v>1.5</v>
      </c>
      <c r="Q24">
        <v>8.5</v>
      </c>
      <c r="R24">
        <v>8.5</v>
      </c>
      <c r="S24">
        <v>5</v>
      </c>
      <c r="T24">
        <v>5</v>
      </c>
      <c r="U24">
        <v>1.5</v>
      </c>
      <c r="V24">
        <v>5</v>
      </c>
      <c r="W24">
        <v>5</v>
      </c>
      <c r="X24">
        <f>SUM(Table14127[[#This Row],[912]:[112]])</f>
        <v>45</v>
      </c>
      <c r="Y24" s="4">
        <f>AVERAGE(Table14127[[#This Row],[912]:[112]])</f>
        <v>5</v>
      </c>
    </row>
    <row r="25" spans="1:25" x14ac:dyDescent="0.35">
      <c r="A25" t="s">
        <v>121</v>
      </c>
      <c r="B25">
        <v>4</v>
      </c>
      <c r="C25">
        <v>5</v>
      </c>
      <c r="D25">
        <v>4</v>
      </c>
      <c r="E25">
        <v>4</v>
      </c>
      <c r="F25">
        <v>3</v>
      </c>
      <c r="G25">
        <v>5</v>
      </c>
      <c r="H25">
        <v>4</v>
      </c>
      <c r="I25">
        <v>3</v>
      </c>
      <c r="J25">
        <v>2</v>
      </c>
      <c r="K25">
        <f>SUM(Table1458[[#This Row],[912]:[112]])</f>
        <v>34</v>
      </c>
      <c r="L25" s="4">
        <f>AVERAGE(Table1458[[#This Row],[912]:[112]])</f>
        <v>3.7777777777777777</v>
      </c>
      <c r="N25" t="s">
        <v>121</v>
      </c>
      <c r="O25">
        <v>5.5</v>
      </c>
      <c r="P25">
        <v>8.5</v>
      </c>
      <c r="Q25">
        <v>5.5</v>
      </c>
      <c r="R25">
        <v>5.5</v>
      </c>
      <c r="S25">
        <v>2.5</v>
      </c>
      <c r="T25">
        <v>8.5</v>
      </c>
      <c r="U25">
        <v>5.5</v>
      </c>
      <c r="V25">
        <v>2.5</v>
      </c>
      <c r="W25">
        <v>1</v>
      </c>
      <c r="X25">
        <f>SUM(Table14127[[#This Row],[912]:[112]])</f>
        <v>45</v>
      </c>
      <c r="Y25" s="4">
        <f>AVERAGE(Table14127[[#This Row],[912]:[112]])</f>
        <v>5</v>
      </c>
    </row>
    <row r="26" spans="1:25" x14ac:dyDescent="0.35">
      <c r="A26" t="s">
        <v>120</v>
      </c>
      <c r="B26">
        <v>4</v>
      </c>
      <c r="C26">
        <v>2</v>
      </c>
      <c r="D26">
        <v>3</v>
      </c>
      <c r="E26">
        <v>4</v>
      </c>
      <c r="F26">
        <v>5</v>
      </c>
      <c r="G26">
        <v>3</v>
      </c>
      <c r="H26">
        <v>4</v>
      </c>
      <c r="I26">
        <v>3</v>
      </c>
      <c r="J26">
        <v>4</v>
      </c>
      <c r="K26">
        <f>SUM(Table1458[[#This Row],[912]:[112]])</f>
        <v>32</v>
      </c>
      <c r="L26" s="4">
        <f>AVERAGE(Table1458[[#This Row],[912]:[112]])</f>
        <v>3.5555555555555554</v>
      </c>
      <c r="N26" t="s">
        <v>120</v>
      </c>
      <c r="O26">
        <v>6.5</v>
      </c>
      <c r="P26">
        <v>1</v>
      </c>
      <c r="Q26">
        <v>3</v>
      </c>
      <c r="R26">
        <v>6.5</v>
      </c>
      <c r="S26">
        <v>9</v>
      </c>
      <c r="T26">
        <v>3</v>
      </c>
      <c r="U26">
        <v>6.5</v>
      </c>
      <c r="V26">
        <v>3</v>
      </c>
      <c r="W26">
        <v>6.5</v>
      </c>
      <c r="X26" s="5">
        <f>SUM(Table14127[[#This Row],[912]:[112]])</f>
        <v>45</v>
      </c>
      <c r="Y26" s="4">
        <f>AVERAGE(Table14127[[#This Row],[912]:[112]])</f>
        <v>5</v>
      </c>
    </row>
    <row r="27" spans="1:25" x14ac:dyDescent="0.35">
      <c r="A27" t="s">
        <v>119</v>
      </c>
      <c r="B27">
        <v>5</v>
      </c>
      <c r="C27">
        <v>3</v>
      </c>
      <c r="D27">
        <v>5</v>
      </c>
      <c r="E27">
        <v>5</v>
      </c>
      <c r="F27">
        <v>4</v>
      </c>
      <c r="G27">
        <v>3</v>
      </c>
      <c r="H27">
        <v>5</v>
      </c>
      <c r="I27">
        <v>3</v>
      </c>
      <c r="J27">
        <v>4</v>
      </c>
      <c r="K27">
        <f>SUM(Table1458[[#This Row],[912]:[112]])</f>
        <v>37</v>
      </c>
      <c r="L27" s="4">
        <f>AVERAGE(Table1458[[#This Row],[912]:[112]])</f>
        <v>4.1111111111111107</v>
      </c>
      <c r="N27" t="s">
        <v>119</v>
      </c>
      <c r="O27">
        <v>7.5</v>
      </c>
      <c r="P27">
        <v>2</v>
      </c>
      <c r="Q27">
        <v>7.5</v>
      </c>
      <c r="R27">
        <v>7.5</v>
      </c>
      <c r="S27">
        <v>4.5</v>
      </c>
      <c r="T27">
        <v>2</v>
      </c>
      <c r="U27">
        <v>7.5</v>
      </c>
      <c r="V27">
        <v>2</v>
      </c>
      <c r="W27">
        <v>4.5</v>
      </c>
      <c r="X27" s="5">
        <f>SUM(Table14127[[#This Row],[912]:[112]])</f>
        <v>45</v>
      </c>
      <c r="Y27" s="4">
        <f>AVERAGE(Table14127[[#This Row],[912]:[112]])</f>
        <v>5</v>
      </c>
    </row>
    <row r="28" spans="1:25" x14ac:dyDescent="0.35">
      <c r="A28" t="s">
        <v>118</v>
      </c>
      <c r="B28">
        <v>2</v>
      </c>
      <c r="C28">
        <v>5</v>
      </c>
      <c r="D28">
        <v>4</v>
      </c>
      <c r="E28">
        <v>4</v>
      </c>
      <c r="F28">
        <v>4</v>
      </c>
      <c r="G28">
        <v>5</v>
      </c>
      <c r="H28">
        <v>3</v>
      </c>
      <c r="I28">
        <v>5</v>
      </c>
      <c r="J28">
        <v>5</v>
      </c>
      <c r="K28">
        <f>SUM(Table1458[[#This Row],[912]:[112]])</f>
        <v>37</v>
      </c>
      <c r="L28" s="4">
        <f>AVERAGE(Table1458[[#This Row],[912]:[112]])</f>
        <v>4.1111111111111107</v>
      </c>
      <c r="N28" t="s">
        <v>118</v>
      </c>
      <c r="O28">
        <v>1</v>
      </c>
      <c r="P28">
        <v>7.5</v>
      </c>
      <c r="Q28">
        <v>4</v>
      </c>
      <c r="R28">
        <v>4</v>
      </c>
      <c r="S28">
        <v>4</v>
      </c>
      <c r="T28">
        <v>7.5</v>
      </c>
      <c r="U28">
        <v>2</v>
      </c>
      <c r="V28">
        <v>7.5</v>
      </c>
      <c r="W28">
        <v>7.5</v>
      </c>
      <c r="X28">
        <f>SUM(Table14127[[#This Row],[912]:[112]])</f>
        <v>45</v>
      </c>
      <c r="Y28" s="4">
        <f>AVERAGE(Table14127[[#This Row],[912]:[112]])</f>
        <v>5</v>
      </c>
    </row>
    <row r="29" spans="1:25" x14ac:dyDescent="0.35">
      <c r="A29" t="s">
        <v>117</v>
      </c>
      <c r="B29">
        <v>4</v>
      </c>
      <c r="C29">
        <v>5</v>
      </c>
      <c r="D29">
        <v>5</v>
      </c>
      <c r="E29">
        <v>5</v>
      </c>
      <c r="F29">
        <v>4</v>
      </c>
      <c r="G29">
        <v>3</v>
      </c>
      <c r="H29">
        <v>4</v>
      </c>
      <c r="I29">
        <v>2</v>
      </c>
      <c r="J29">
        <v>5</v>
      </c>
      <c r="K29">
        <f>SUM(Table1458[[#This Row],[912]:[112]])</f>
        <v>37</v>
      </c>
      <c r="L29" s="4">
        <f>AVERAGE(Table1458[[#This Row],[912]:[112]])</f>
        <v>4.1111111111111107</v>
      </c>
      <c r="N29" t="s">
        <v>117</v>
      </c>
      <c r="O29">
        <v>4</v>
      </c>
      <c r="P29">
        <v>7.5</v>
      </c>
      <c r="Q29">
        <v>7.5</v>
      </c>
      <c r="R29">
        <v>7.5</v>
      </c>
      <c r="S29">
        <v>4</v>
      </c>
      <c r="T29">
        <v>2</v>
      </c>
      <c r="U29">
        <v>4</v>
      </c>
      <c r="V29">
        <v>1</v>
      </c>
      <c r="W29">
        <v>7.5</v>
      </c>
      <c r="X29">
        <f>SUM(Table14127[[#This Row],[912]:[112]])</f>
        <v>45</v>
      </c>
      <c r="Y29" s="4">
        <f>AVERAGE(Table14127[[#This Row],[912]:[112]])</f>
        <v>5</v>
      </c>
    </row>
    <row r="30" spans="1:25" x14ac:dyDescent="0.35">
      <c r="A30" t="s">
        <v>116</v>
      </c>
      <c r="B30">
        <v>4</v>
      </c>
      <c r="C30">
        <v>4</v>
      </c>
      <c r="D30">
        <v>4</v>
      </c>
      <c r="E30">
        <v>4</v>
      </c>
      <c r="F30">
        <v>3</v>
      </c>
      <c r="G30">
        <v>3</v>
      </c>
      <c r="H30">
        <v>5</v>
      </c>
      <c r="I30">
        <v>5</v>
      </c>
      <c r="J30">
        <v>5</v>
      </c>
      <c r="K30">
        <f>SUM(Table1458[[#This Row],[912]:[112]])</f>
        <v>37</v>
      </c>
      <c r="L30" s="4">
        <f>AVERAGE(Table1458[[#This Row],[912]:[112]])</f>
        <v>4.1111111111111107</v>
      </c>
      <c r="N30" t="s">
        <v>116</v>
      </c>
      <c r="O30">
        <v>4.5</v>
      </c>
      <c r="P30">
        <v>4.5</v>
      </c>
      <c r="Q30">
        <v>4.5</v>
      </c>
      <c r="R30">
        <v>4.5</v>
      </c>
      <c r="S30">
        <v>1.5</v>
      </c>
      <c r="T30">
        <v>1.5</v>
      </c>
      <c r="U30">
        <v>8</v>
      </c>
      <c r="V30">
        <v>8</v>
      </c>
      <c r="W30">
        <v>8</v>
      </c>
      <c r="X30">
        <f>SUM(Table14127[[#This Row],[912]:[112]])</f>
        <v>45</v>
      </c>
      <c r="Y30" s="4">
        <f>AVERAGE(Table14127[[#This Row],[912]:[112]])</f>
        <v>5</v>
      </c>
    </row>
    <row r="31" spans="1:25" x14ac:dyDescent="0.35">
      <c r="A31" t="s">
        <v>115</v>
      </c>
      <c r="B31">
        <v>3</v>
      </c>
      <c r="C31">
        <v>3</v>
      </c>
      <c r="D31">
        <v>3</v>
      </c>
      <c r="E31">
        <v>5</v>
      </c>
      <c r="F31">
        <v>5</v>
      </c>
      <c r="G31">
        <v>5</v>
      </c>
      <c r="H31">
        <v>4</v>
      </c>
      <c r="I31">
        <v>4</v>
      </c>
      <c r="J31">
        <v>4</v>
      </c>
      <c r="K31">
        <f>SUM(Table1458[[#This Row],[912]:[112]])</f>
        <v>36</v>
      </c>
      <c r="L31">
        <f>AVERAGE(Table1458[[#This Row],[912]:[112]])</f>
        <v>4</v>
      </c>
      <c r="N31" t="s">
        <v>115</v>
      </c>
      <c r="O31">
        <v>2</v>
      </c>
      <c r="P31">
        <v>2</v>
      </c>
      <c r="Q31">
        <v>2</v>
      </c>
      <c r="R31">
        <v>8</v>
      </c>
      <c r="S31">
        <v>8</v>
      </c>
      <c r="T31">
        <v>8</v>
      </c>
      <c r="U31">
        <v>5</v>
      </c>
      <c r="V31">
        <v>5</v>
      </c>
      <c r="W31">
        <v>5</v>
      </c>
      <c r="X31">
        <f>SUM(Table14127[[#This Row],[912]:[112]])</f>
        <v>45</v>
      </c>
      <c r="Y31" s="4">
        <f>AVERAGE(Table14127[[#This Row],[912]:[112]])</f>
        <v>5</v>
      </c>
    </row>
    <row r="32" spans="1:25" x14ac:dyDescent="0.35">
      <c r="A32" t="s">
        <v>54</v>
      </c>
      <c r="B32">
        <f t="shared" ref="B32:K32" si="0">SUM(B2:B31)</f>
        <v>101</v>
      </c>
      <c r="C32">
        <f t="shared" si="0"/>
        <v>104</v>
      </c>
      <c r="D32">
        <f t="shared" si="0"/>
        <v>104</v>
      </c>
      <c r="E32">
        <f t="shared" si="0"/>
        <v>114</v>
      </c>
      <c r="F32">
        <f t="shared" si="0"/>
        <v>107</v>
      </c>
      <c r="G32">
        <f t="shared" si="0"/>
        <v>111</v>
      </c>
      <c r="H32">
        <f t="shared" si="0"/>
        <v>113</v>
      </c>
      <c r="I32">
        <f t="shared" si="0"/>
        <v>108</v>
      </c>
      <c r="J32">
        <f t="shared" si="0"/>
        <v>114</v>
      </c>
      <c r="K32">
        <f t="shared" si="0"/>
        <v>976</v>
      </c>
      <c r="N32" t="s">
        <v>54</v>
      </c>
      <c r="O32">
        <f t="shared" ref="O32:X32" si="1">SUM(O2:O31)</f>
        <v>129</v>
      </c>
      <c r="P32">
        <f t="shared" si="1"/>
        <v>137</v>
      </c>
      <c r="Q32">
        <f t="shared" si="1"/>
        <v>135</v>
      </c>
      <c r="R32">
        <f t="shared" si="1"/>
        <v>161</v>
      </c>
      <c r="S32">
        <f t="shared" si="1"/>
        <v>143</v>
      </c>
      <c r="T32">
        <f t="shared" si="1"/>
        <v>156</v>
      </c>
      <c r="U32">
        <f t="shared" si="1"/>
        <v>161.5</v>
      </c>
      <c r="V32">
        <f t="shared" si="1"/>
        <v>157.5</v>
      </c>
      <c r="W32">
        <f t="shared" si="1"/>
        <v>170</v>
      </c>
      <c r="X32" s="5">
        <f t="shared" si="1"/>
        <v>1350</v>
      </c>
      <c r="Y32" s="4"/>
    </row>
    <row r="33" spans="1:25" x14ac:dyDescent="0.35">
      <c r="A33" t="s">
        <v>93</v>
      </c>
      <c r="B33" s="4">
        <f t="shared" ref="B33:J33" si="2">AVERAGE(B2:B31)</f>
        <v>3.3666666666666667</v>
      </c>
      <c r="C33" s="4">
        <f t="shared" si="2"/>
        <v>3.4666666666666668</v>
      </c>
      <c r="D33" s="4">
        <f t="shared" si="2"/>
        <v>3.4666666666666668</v>
      </c>
      <c r="E33">
        <f t="shared" si="2"/>
        <v>3.8</v>
      </c>
      <c r="F33" s="4">
        <f t="shared" si="2"/>
        <v>3.5666666666666669</v>
      </c>
      <c r="G33">
        <f t="shared" si="2"/>
        <v>3.7</v>
      </c>
      <c r="H33" s="4">
        <f t="shared" si="2"/>
        <v>3.7666666666666666</v>
      </c>
      <c r="I33">
        <f t="shared" si="2"/>
        <v>3.6</v>
      </c>
      <c r="J33">
        <f t="shared" si="2"/>
        <v>3.8</v>
      </c>
      <c r="N33" t="s">
        <v>93</v>
      </c>
      <c r="O33" s="4">
        <f t="shared" ref="O33:W33" si="3">AVERAGE(O2:O31)</f>
        <v>4.3</v>
      </c>
      <c r="P33" s="4">
        <f t="shared" si="3"/>
        <v>4.5666666666666664</v>
      </c>
      <c r="Q33" s="4">
        <f t="shared" si="3"/>
        <v>4.5</v>
      </c>
      <c r="R33" s="4">
        <f t="shared" si="3"/>
        <v>5.3666666666666663</v>
      </c>
      <c r="S33" s="4">
        <f t="shared" si="3"/>
        <v>4.7666666666666666</v>
      </c>
      <c r="T33" s="4">
        <f t="shared" si="3"/>
        <v>5.2</v>
      </c>
      <c r="U33" s="4">
        <f t="shared" si="3"/>
        <v>5.3833333333333337</v>
      </c>
      <c r="V33" s="4">
        <f t="shared" si="3"/>
        <v>5.25</v>
      </c>
      <c r="W33" s="4">
        <f t="shared" si="3"/>
        <v>5.666666666666667</v>
      </c>
      <c r="Y33" s="4"/>
    </row>
    <row r="35" spans="1:25" x14ac:dyDescent="0.35">
      <c r="E35" t="s">
        <v>257</v>
      </c>
      <c r="F35">
        <v>30</v>
      </c>
      <c r="N35" s="113" t="s">
        <v>114</v>
      </c>
      <c r="O35" s="114"/>
      <c r="P35" s="114"/>
      <c r="Q35" s="114"/>
      <c r="R35" s="114"/>
      <c r="S35" s="115"/>
      <c r="T35" s="14" t="s">
        <v>113</v>
      </c>
      <c r="U35" s="14" t="s">
        <v>112</v>
      </c>
      <c r="W35" t="s">
        <v>86</v>
      </c>
    </row>
    <row r="36" spans="1:25" x14ac:dyDescent="0.35">
      <c r="E36" t="s">
        <v>63</v>
      </c>
      <c r="F36">
        <v>9</v>
      </c>
      <c r="N36" s="112" t="s">
        <v>110</v>
      </c>
      <c r="O36" s="112"/>
      <c r="P36" s="112"/>
      <c r="Q36" s="112"/>
      <c r="R36" s="112"/>
      <c r="S36" s="112"/>
      <c r="T36" s="13">
        <f>B33</f>
        <v>3.3666666666666667</v>
      </c>
      <c r="U36" s="12">
        <f>O32</f>
        <v>129</v>
      </c>
      <c r="V36">
        <v>131</v>
      </c>
      <c r="W36" t="s">
        <v>87</v>
      </c>
      <c r="X36" s="2">
        <f>V36+$T$45</f>
        <v>165.89571965155613</v>
      </c>
    </row>
    <row r="37" spans="1:25" x14ac:dyDescent="0.35">
      <c r="N37" s="112" t="s">
        <v>108</v>
      </c>
      <c r="O37" s="112"/>
      <c r="P37" s="112"/>
      <c r="Q37" s="112"/>
      <c r="R37" s="112"/>
      <c r="S37" s="112"/>
      <c r="T37" s="13">
        <f>C33</f>
        <v>3.4666666666666668</v>
      </c>
      <c r="U37" s="12">
        <f>P32</f>
        <v>137</v>
      </c>
      <c r="V37">
        <v>135</v>
      </c>
      <c r="W37" t="s">
        <v>87</v>
      </c>
      <c r="X37" s="2">
        <f>V37+$T$45</f>
        <v>169.89571965155613</v>
      </c>
    </row>
    <row r="38" spans="1:25" x14ac:dyDescent="0.35">
      <c r="E38" t="s">
        <v>75</v>
      </c>
      <c r="F38">
        <f>(12/(F35*F36*(F36+1))*SUMSQ(O32:W32)-3*F35*(F36+1))</f>
        <v>7.2422222222222672</v>
      </c>
      <c r="N38" s="112" t="s">
        <v>107</v>
      </c>
      <c r="O38" s="112"/>
      <c r="P38" s="112"/>
      <c r="Q38" s="112"/>
      <c r="R38" s="112"/>
      <c r="S38" s="112"/>
      <c r="T38" s="13">
        <f>D33</f>
        <v>3.4666666666666668</v>
      </c>
      <c r="U38" s="12">
        <f>Q32</f>
        <v>135</v>
      </c>
      <c r="V38">
        <v>139</v>
      </c>
      <c r="W38" t="s">
        <v>90</v>
      </c>
      <c r="X38" s="2">
        <f>V38+$T$45</f>
        <v>173.89571965155613</v>
      </c>
    </row>
    <row r="39" spans="1:25" x14ac:dyDescent="0.35">
      <c r="E39" t="s">
        <v>111</v>
      </c>
      <c r="F39">
        <f>_xlfn.CHISQ.INV.RT(0.05,8)</f>
        <v>15.507313055865453</v>
      </c>
      <c r="N39" s="112" t="s">
        <v>106</v>
      </c>
      <c r="O39" s="112"/>
      <c r="P39" s="112"/>
      <c r="Q39" s="112"/>
      <c r="R39" s="112"/>
      <c r="S39" s="112"/>
      <c r="T39" s="13">
        <f>E33</f>
        <v>3.8</v>
      </c>
      <c r="U39" s="12">
        <f>R32</f>
        <v>161</v>
      </c>
      <c r="V39">
        <v>143</v>
      </c>
      <c r="W39" t="s">
        <v>90</v>
      </c>
    </row>
    <row r="40" spans="1:25" x14ac:dyDescent="0.35">
      <c r="E40" t="s">
        <v>109</v>
      </c>
      <c r="F40" t="str">
        <f>IF(F38&lt;F39,"H0 Diterima","H0 Ditolak")</f>
        <v>H0 Diterima</v>
      </c>
      <c r="N40" s="112" t="s">
        <v>105</v>
      </c>
      <c r="O40" s="112"/>
      <c r="P40" s="112"/>
      <c r="Q40" s="112"/>
      <c r="R40" s="112"/>
      <c r="S40" s="112"/>
      <c r="T40" s="13">
        <f>F33</f>
        <v>3.5666666666666669</v>
      </c>
      <c r="U40" s="12">
        <f>S32</f>
        <v>143</v>
      </c>
      <c r="V40">
        <v>157</v>
      </c>
      <c r="W40" t="s">
        <v>90</v>
      </c>
    </row>
    <row r="41" spans="1:25" x14ac:dyDescent="0.35">
      <c r="E41" s="94" t="s">
        <v>109</v>
      </c>
      <c r="F41" s="95" t="s">
        <v>258</v>
      </c>
      <c r="H41" t="s">
        <v>262</v>
      </c>
      <c r="N41" s="112" t="s">
        <v>104</v>
      </c>
      <c r="O41" s="112"/>
      <c r="P41" s="112"/>
      <c r="Q41" s="112"/>
      <c r="R41" s="112"/>
      <c r="S41" s="112"/>
      <c r="T41" s="13">
        <f>G33</f>
        <v>3.7</v>
      </c>
      <c r="U41" s="12">
        <f>T32</f>
        <v>156</v>
      </c>
      <c r="V41">
        <v>158.5</v>
      </c>
      <c r="W41" t="s">
        <v>90</v>
      </c>
    </row>
    <row r="42" spans="1:25" x14ac:dyDescent="0.35">
      <c r="E42" s="98" t="s">
        <v>259</v>
      </c>
      <c r="F42" s="98" t="s">
        <v>260</v>
      </c>
      <c r="G42" s="98"/>
      <c r="H42" s="98" t="s">
        <v>261</v>
      </c>
      <c r="I42" s="98"/>
      <c r="J42" s="98"/>
      <c r="K42" s="98"/>
      <c r="N42" s="112" t="s">
        <v>103</v>
      </c>
      <c r="O42" s="112"/>
      <c r="P42" s="112"/>
      <c r="Q42" s="112"/>
      <c r="R42" s="112"/>
      <c r="S42" s="112"/>
      <c r="T42" s="13">
        <f>H33</f>
        <v>3.7666666666666666</v>
      </c>
      <c r="U42" s="12">
        <f>U32</f>
        <v>161.5</v>
      </c>
      <c r="V42">
        <v>162</v>
      </c>
      <c r="W42" t="s">
        <v>90</v>
      </c>
    </row>
    <row r="43" spans="1:25" x14ac:dyDescent="0.35">
      <c r="N43" s="112" t="s">
        <v>102</v>
      </c>
      <c r="O43" s="112"/>
      <c r="P43" s="112"/>
      <c r="Q43" s="112"/>
      <c r="R43" s="112"/>
      <c r="S43" s="112"/>
      <c r="T43" s="13">
        <f>I33</f>
        <v>3.6</v>
      </c>
      <c r="U43" s="12">
        <f>V32</f>
        <v>157.5</v>
      </c>
      <c r="V43">
        <v>162.5</v>
      </c>
      <c r="W43" t="s">
        <v>90</v>
      </c>
      <c r="X43" s="2"/>
    </row>
    <row r="44" spans="1:25" x14ac:dyDescent="0.35">
      <c r="N44" s="112" t="s">
        <v>101</v>
      </c>
      <c r="O44" s="112"/>
      <c r="P44" s="112"/>
      <c r="Q44" s="112"/>
      <c r="R44" s="112"/>
      <c r="S44" s="112"/>
      <c r="T44" s="13">
        <f>J33</f>
        <v>3.8</v>
      </c>
      <c r="U44" s="12">
        <f>W32</f>
        <v>170</v>
      </c>
      <c r="V44">
        <v>171</v>
      </c>
      <c r="W44" t="s">
        <v>88</v>
      </c>
    </row>
    <row r="45" spans="1:25" x14ac:dyDescent="0.35">
      <c r="N45" s="113" t="s">
        <v>100</v>
      </c>
      <c r="O45" s="114"/>
      <c r="P45" s="114"/>
      <c r="Q45" s="114"/>
      <c r="R45" s="114"/>
      <c r="S45" s="115"/>
      <c r="T45" s="116">
        <f>1.645*SQRT(30*9*(9+1)/6)</f>
        <v>34.895719651556121</v>
      </c>
      <c r="U45" s="117"/>
    </row>
    <row r="47" spans="1:25" x14ac:dyDescent="0.35">
      <c r="N47" t="s">
        <v>45</v>
      </c>
      <c r="O47">
        <v>131</v>
      </c>
      <c r="P47" t="s">
        <v>87</v>
      </c>
      <c r="Q47" s="2">
        <f>O47+$T$45</f>
        <v>165.89571965155613</v>
      </c>
    </row>
    <row r="48" spans="1:25" x14ac:dyDescent="0.35">
      <c r="N48" t="s">
        <v>48</v>
      </c>
      <c r="O48">
        <v>139</v>
      </c>
      <c r="P48" t="s">
        <v>90</v>
      </c>
      <c r="Q48" s="2">
        <f>O48+$T$45</f>
        <v>173.89571965155613</v>
      </c>
    </row>
    <row r="49" spans="14:17" x14ac:dyDescent="0.35">
      <c r="N49" t="s">
        <v>51</v>
      </c>
      <c r="O49">
        <v>135</v>
      </c>
      <c r="P49" t="s">
        <v>87</v>
      </c>
      <c r="Q49" s="2">
        <f>O49+$T$45</f>
        <v>169.89571965155613</v>
      </c>
    </row>
    <row r="50" spans="14:17" x14ac:dyDescent="0.35">
      <c r="N50" t="s">
        <v>46</v>
      </c>
      <c r="O50">
        <v>162</v>
      </c>
      <c r="P50" t="s">
        <v>90</v>
      </c>
    </row>
    <row r="51" spans="14:17" x14ac:dyDescent="0.35">
      <c r="N51" t="s">
        <v>49</v>
      </c>
      <c r="O51">
        <v>143</v>
      </c>
      <c r="P51" t="s">
        <v>90</v>
      </c>
    </row>
    <row r="52" spans="14:17" x14ac:dyDescent="0.35">
      <c r="N52" t="s">
        <v>52</v>
      </c>
      <c r="O52">
        <v>157</v>
      </c>
      <c r="P52" t="s">
        <v>90</v>
      </c>
    </row>
    <row r="53" spans="14:17" x14ac:dyDescent="0.35">
      <c r="N53" t="s">
        <v>47</v>
      </c>
      <c r="O53">
        <v>162.5</v>
      </c>
      <c r="P53" t="s">
        <v>90</v>
      </c>
    </row>
    <row r="54" spans="14:17" x14ac:dyDescent="0.35">
      <c r="N54" t="s">
        <v>50</v>
      </c>
      <c r="O54">
        <v>158.5</v>
      </c>
      <c r="P54" t="s">
        <v>90</v>
      </c>
    </row>
    <row r="55" spans="14:17" x14ac:dyDescent="0.35">
      <c r="N55" t="s">
        <v>53</v>
      </c>
      <c r="O55">
        <v>171</v>
      </c>
      <c r="P55" t="s">
        <v>88</v>
      </c>
    </row>
  </sheetData>
  <sortState xmlns:xlrd2="http://schemas.microsoft.com/office/spreadsheetml/2017/richdata2" ref="N47:Q55">
    <sortCondition ref="N47:N55"/>
  </sortState>
  <mergeCells count="12">
    <mergeCell ref="N44:S44"/>
    <mergeCell ref="N45:S45"/>
    <mergeCell ref="T45:U45"/>
    <mergeCell ref="N35:S35"/>
    <mergeCell ref="N36:S36"/>
    <mergeCell ref="N37:S37"/>
    <mergeCell ref="N38:S38"/>
    <mergeCell ref="N39:S39"/>
    <mergeCell ref="N40:S40"/>
    <mergeCell ref="N41:S41"/>
    <mergeCell ref="N42:S42"/>
    <mergeCell ref="N43:S43"/>
  </mergeCells>
  <conditionalFormatting sqref="X2:X31">
    <cfRule type="cellIs" dxfId="14" priority="1" operator="greaterThan">
      <formula>45</formula>
    </cfRule>
  </conditionalFormatting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F47DD-7BB3-46BF-BFDD-23A443563126}">
  <dimension ref="A1:Y55"/>
  <sheetViews>
    <sheetView topLeftCell="B38" workbookViewId="0">
      <selection activeCell="K46" sqref="K46"/>
    </sheetView>
  </sheetViews>
  <sheetFormatPr defaultRowHeight="14.5" x14ac:dyDescent="0.35"/>
  <cols>
    <col min="6" max="6" width="11.81640625" bestFit="1" customWidth="1"/>
    <col min="11" max="11" width="10.26953125" customWidth="1"/>
  </cols>
  <sheetData>
    <row r="1" spans="1:25" x14ac:dyDescent="0.35">
      <c r="A1" t="s">
        <v>154</v>
      </c>
      <c r="B1" t="s">
        <v>153</v>
      </c>
      <c r="C1" t="s">
        <v>152</v>
      </c>
      <c r="D1" t="s">
        <v>151</v>
      </c>
      <c r="E1" t="s">
        <v>150</v>
      </c>
      <c r="F1" t="s">
        <v>149</v>
      </c>
      <c r="G1" t="s">
        <v>148</v>
      </c>
      <c r="H1" t="s">
        <v>147</v>
      </c>
      <c r="I1" t="s">
        <v>146</v>
      </c>
      <c r="J1" t="s">
        <v>145</v>
      </c>
      <c r="K1" t="s">
        <v>54</v>
      </c>
      <c r="L1" t="s">
        <v>93</v>
      </c>
      <c r="N1" t="s">
        <v>154</v>
      </c>
      <c r="O1" t="s">
        <v>153</v>
      </c>
      <c r="P1" t="s">
        <v>152</v>
      </c>
      <c r="Q1" t="s">
        <v>151</v>
      </c>
      <c r="R1" t="s">
        <v>150</v>
      </c>
      <c r="S1" t="s">
        <v>149</v>
      </c>
      <c r="T1" t="s">
        <v>148</v>
      </c>
      <c r="U1" t="s">
        <v>147</v>
      </c>
      <c r="V1" t="s">
        <v>146</v>
      </c>
      <c r="W1" t="s">
        <v>145</v>
      </c>
      <c r="X1" t="s">
        <v>54</v>
      </c>
      <c r="Y1" t="s">
        <v>93</v>
      </c>
    </row>
    <row r="2" spans="1:25" x14ac:dyDescent="0.35">
      <c r="A2" t="s">
        <v>144</v>
      </c>
      <c r="B2">
        <v>4</v>
      </c>
      <c r="C2">
        <v>4</v>
      </c>
      <c r="D2">
        <v>4</v>
      </c>
      <c r="E2">
        <v>3</v>
      </c>
      <c r="F2">
        <v>4</v>
      </c>
      <c r="G2">
        <v>3</v>
      </c>
      <c r="H2">
        <v>3</v>
      </c>
      <c r="I2">
        <v>4</v>
      </c>
      <c r="J2">
        <v>3</v>
      </c>
      <c r="K2">
        <f>SUM(Table145[[#This Row],[912]:[112]])</f>
        <v>32</v>
      </c>
      <c r="L2">
        <f>AVERAGE(Table145[[#This Row],[112]])</f>
        <v>3</v>
      </c>
      <c r="N2" t="s">
        <v>144</v>
      </c>
      <c r="O2">
        <v>7</v>
      </c>
      <c r="P2">
        <v>7</v>
      </c>
      <c r="Q2">
        <v>7</v>
      </c>
      <c r="R2">
        <v>2.5</v>
      </c>
      <c r="S2">
        <v>7</v>
      </c>
      <c r="T2">
        <v>2.5</v>
      </c>
      <c r="U2">
        <v>2.5</v>
      </c>
      <c r="V2">
        <v>7</v>
      </c>
      <c r="W2">
        <v>2.5</v>
      </c>
      <c r="X2">
        <f>SUM(Table1451410[[#This Row],[912]:[112]])</f>
        <v>45</v>
      </c>
      <c r="Y2">
        <f>AVERAGE(Table1451410[[#This Row],[912]:[112]])</f>
        <v>5</v>
      </c>
    </row>
    <row r="3" spans="1:25" x14ac:dyDescent="0.35">
      <c r="A3" t="s">
        <v>143</v>
      </c>
      <c r="B3">
        <v>4</v>
      </c>
      <c r="C3">
        <v>4</v>
      </c>
      <c r="D3">
        <v>4</v>
      </c>
      <c r="E3">
        <v>4</v>
      </c>
      <c r="F3">
        <v>2</v>
      </c>
      <c r="G3">
        <v>2</v>
      </c>
      <c r="H3">
        <v>4</v>
      </c>
      <c r="I3">
        <v>4</v>
      </c>
      <c r="J3">
        <v>3</v>
      </c>
      <c r="K3">
        <f>SUM(Table145[[#This Row],[912]:[112]])</f>
        <v>31</v>
      </c>
      <c r="L3">
        <f>AVERAGE(Table145[[#This Row],[112]])</f>
        <v>3</v>
      </c>
      <c r="N3" t="s">
        <v>143</v>
      </c>
      <c r="O3">
        <v>6.5</v>
      </c>
      <c r="P3">
        <v>6.5</v>
      </c>
      <c r="Q3">
        <v>6.5</v>
      </c>
      <c r="R3">
        <v>6.5</v>
      </c>
      <c r="S3">
        <v>1.5</v>
      </c>
      <c r="T3">
        <v>1.5</v>
      </c>
      <c r="U3">
        <v>6.5</v>
      </c>
      <c r="V3">
        <v>6.5</v>
      </c>
      <c r="W3">
        <v>3</v>
      </c>
      <c r="X3">
        <f>SUM(Table1451410[[#This Row],[912]:[112]])</f>
        <v>45</v>
      </c>
      <c r="Y3">
        <f>AVERAGE(Table1451410[[#This Row],[912]:[112]])</f>
        <v>5</v>
      </c>
    </row>
    <row r="4" spans="1:25" x14ac:dyDescent="0.35">
      <c r="A4" t="s">
        <v>142</v>
      </c>
      <c r="B4">
        <v>3</v>
      </c>
      <c r="C4">
        <v>4</v>
      </c>
      <c r="D4">
        <v>4</v>
      </c>
      <c r="E4">
        <v>3</v>
      </c>
      <c r="F4">
        <v>4</v>
      </c>
      <c r="G4">
        <v>5</v>
      </c>
      <c r="H4">
        <v>3</v>
      </c>
      <c r="I4">
        <v>4</v>
      </c>
      <c r="J4">
        <v>3</v>
      </c>
      <c r="K4">
        <f>SUM(Table145[[#This Row],[912]:[112]])</f>
        <v>33</v>
      </c>
      <c r="L4">
        <f>AVERAGE(Table145[[#This Row],[112]])</f>
        <v>3</v>
      </c>
      <c r="N4" t="s">
        <v>142</v>
      </c>
      <c r="O4">
        <v>2.5</v>
      </c>
      <c r="P4">
        <v>6.5</v>
      </c>
      <c r="Q4">
        <v>6.5</v>
      </c>
      <c r="R4">
        <v>2.5</v>
      </c>
      <c r="S4">
        <v>6.5</v>
      </c>
      <c r="T4">
        <v>9</v>
      </c>
      <c r="U4">
        <v>2.5</v>
      </c>
      <c r="V4">
        <v>6.5</v>
      </c>
      <c r="W4">
        <v>2.5</v>
      </c>
      <c r="X4">
        <f>SUM(Table1451410[[#This Row],[912]:[112]])</f>
        <v>45</v>
      </c>
      <c r="Y4">
        <f>AVERAGE(Table1451410[[#This Row],[912]:[112]])</f>
        <v>5</v>
      </c>
    </row>
    <row r="5" spans="1:25" x14ac:dyDescent="0.35">
      <c r="A5" t="s">
        <v>141</v>
      </c>
      <c r="B5">
        <v>4</v>
      </c>
      <c r="C5">
        <v>4</v>
      </c>
      <c r="D5">
        <v>4</v>
      </c>
      <c r="E5">
        <v>3</v>
      </c>
      <c r="F5">
        <v>4</v>
      </c>
      <c r="G5">
        <v>4</v>
      </c>
      <c r="H5">
        <v>4</v>
      </c>
      <c r="I5">
        <v>4</v>
      </c>
      <c r="J5">
        <v>4</v>
      </c>
      <c r="K5">
        <f>SUM(Table145[[#This Row],[912]:[112]])</f>
        <v>35</v>
      </c>
      <c r="L5">
        <f>AVERAGE(Table145[[#This Row],[112]])</f>
        <v>4</v>
      </c>
      <c r="N5" t="s">
        <v>141</v>
      </c>
      <c r="O5">
        <v>5.5</v>
      </c>
      <c r="P5">
        <v>5.5</v>
      </c>
      <c r="Q5">
        <v>5.5</v>
      </c>
      <c r="R5">
        <v>1</v>
      </c>
      <c r="S5">
        <v>5.5</v>
      </c>
      <c r="T5">
        <v>5.5</v>
      </c>
      <c r="U5">
        <v>5.5</v>
      </c>
      <c r="V5">
        <v>5.5</v>
      </c>
      <c r="W5">
        <v>5.5</v>
      </c>
      <c r="X5">
        <f>SUM(Table1451410[[#This Row],[912]:[112]])</f>
        <v>45</v>
      </c>
      <c r="Y5" s="5">
        <f>AVERAGE(Table1451410[[#This Row],[912]:[112]])</f>
        <v>5</v>
      </c>
    </row>
    <row r="6" spans="1:25" x14ac:dyDescent="0.35">
      <c r="A6" t="s">
        <v>140</v>
      </c>
      <c r="B6">
        <v>3</v>
      </c>
      <c r="C6">
        <v>4</v>
      </c>
      <c r="D6">
        <v>3</v>
      </c>
      <c r="E6">
        <v>3</v>
      </c>
      <c r="F6">
        <v>4</v>
      </c>
      <c r="G6">
        <v>5</v>
      </c>
      <c r="H6">
        <v>4</v>
      </c>
      <c r="I6">
        <v>4</v>
      </c>
      <c r="J6">
        <v>4</v>
      </c>
      <c r="K6">
        <f>SUM(Table145[[#This Row],[912]:[112]])</f>
        <v>34</v>
      </c>
      <c r="L6">
        <f>AVERAGE(Table145[[#This Row],[112]])</f>
        <v>4</v>
      </c>
      <c r="N6" t="s">
        <v>140</v>
      </c>
      <c r="O6">
        <v>2</v>
      </c>
      <c r="P6">
        <v>6</v>
      </c>
      <c r="Q6">
        <v>2</v>
      </c>
      <c r="R6">
        <v>2</v>
      </c>
      <c r="S6">
        <v>6</v>
      </c>
      <c r="T6">
        <v>9</v>
      </c>
      <c r="U6">
        <v>6</v>
      </c>
      <c r="V6">
        <v>6</v>
      </c>
      <c r="W6">
        <v>6</v>
      </c>
      <c r="X6">
        <f>SUM(Table1451410[[#This Row],[912]:[112]])</f>
        <v>45</v>
      </c>
      <c r="Y6">
        <f>AVERAGE(Table1451410[[#This Row],[912]:[112]])</f>
        <v>5</v>
      </c>
    </row>
    <row r="7" spans="1:25" x14ac:dyDescent="0.35">
      <c r="A7" t="s">
        <v>139</v>
      </c>
      <c r="B7">
        <v>3</v>
      </c>
      <c r="C7">
        <v>4</v>
      </c>
      <c r="D7">
        <v>2</v>
      </c>
      <c r="E7">
        <v>1</v>
      </c>
      <c r="F7">
        <v>4</v>
      </c>
      <c r="G7">
        <v>2</v>
      </c>
      <c r="H7">
        <v>5</v>
      </c>
      <c r="I7">
        <v>1</v>
      </c>
      <c r="J7">
        <v>4</v>
      </c>
      <c r="K7">
        <f>SUM(Table145[[#This Row],[912]:[112]])</f>
        <v>26</v>
      </c>
      <c r="L7">
        <f>AVERAGE(Table145[[#This Row],[112]])</f>
        <v>4</v>
      </c>
      <c r="N7" t="s">
        <v>139</v>
      </c>
      <c r="O7">
        <v>5</v>
      </c>
      <c r="P7">
        <v>7</v>
      </c>
      <c r="Q7">
        <v>3.5</v>
      </c>
      <c r="R7">
        <v>1.5</v>
      </c>
      <c r="S7">
        <v>7</v>
      </c>
      <c r="T7">
        <v>3.5</v>
      </c>
      <c r="U7">
        <v>9</v>
      </c>
      <c r="V7">
        <v>1.5</v>
      </c>
      <c r="W7">
        <v>7</v>
      </c>
      <c r="X7">
        <f>SUM(Table1451410[[#This Row],[912]:[112]])</f>
        <v>45</v>
      </c>
      <c r="Y7" s="5">
        <f>AVERAGE(Table1451410[[#This Row],[912]:[112]])</f>
        <v>5</v>
      </c>
    </row>
    <row r="8" spans="1:25" x14ac:dyDescent="0.35">
      <c r="A8" t="s">
        <v>138</v>
      </c>
      <c r="B8">
        <v>2</v>
      </c>
      <c r="C8">
        <v>3</v>
      </c>
      <c r="D8">
        <v>3</v>
      </c>
      <c r="E8">
        <v>3</v>
      </c>
      <c r="F8">
        <v>4</v>
      </c>
      <c r="G8">
        <v>2</v>
      </c>
      <c r="H8">
        <v>3</v>
      </c>
      <c r="I8">
        <v>2</v>
      </c>
      <c r="J8">
        <v>3</v>
      </c>
      <c r="K8">
        <f>SUM(Table145[[#This Row],[912]:[112]])</f>
        <v>25</v>
      </c>
      <c r="L8">
        <f>AVERAGE(Table145[[#This Row],[112]])</f>
        <v>3</v>
      </c>
      <c r="N8" t="s">
        <v>138</v>
      </c>
      <c r="O8">
        <v>2</v>
      </c>
      <c r="P8">
        <v>6</v>
      </c>
      <c r="Q8">
        <v>6</v>
      </c>
      <c r="R8">
        <v>6</v>
      </c>
      <c r="S8">
        <v>9</v>
      </c>
      <c r="T8">
        <v>2</v>
      </c>
      <c r="U8">
        <v>6</v>
      </c>
      <c r="V8">
        <v>2</v>
      </c>
      <c r="W8">
        <v>6</v>
      </c>
      <c r="X8">
        <f>SUM(Table1451410[[#This Row],[912]:[112]])</f>
        <v>45</v>
      </c>
      <c r="Y8">
        <f>AVERAGE(Table1451410[[#This Row],[912]:[112]])</f>
        <v>5</v>
      </c>
    </row>
    <row r="9" spans="1:25" x14ac:dyDescent="0.35">
      <c r="A9" t="s">
        <v>137</v>
      </c>
      <c r="B9">
        <v>2</v>
      </c>
      <c r="C9">
        <v>2</v>
      </c>
      <c r="D9">
        <v>4</v>
      </c>
      <c r="E9">
        <v>2</v>
      </c>
      <c r="F9">
        <v>4</v>
      </c>
      <c r="G9">
        <v>4</v>
      </c>
      <c r="H9">
        <v>5</v>
      </c>
      <c r="I9">
        <v>4</v>
      </c>
      <c r="J9">
        <v>5</v>
      </c>
      <c r="K9">
        <f>SUM(Table145[[#This Row],[912]:[112]])</f>
        <v>32</v>
      </c>
      <c r="L9">
        <f>AVERAGE(Table145[[#This Row],[112]])</f>
        <v>5</v>
      </c>
      <c r="N9" t="s">
        <v>137</v>
      </c>
      <c r="O9">
        <v>2</v>
      </c>
      <c r="P9">
        <v>2</v>
      </c>
      <c r="Q9">
        <v>5.5</v>
      </c>
      <c r="R9">
        <v>2</v>
      </c>
      <c r="S9">
        <v>5.5</v>
      </c>
      <c r="T9">
        <v>5.5</v>
      </c>
      <c r="U9">
        <v>8.5</v>
      </c>
      <c r="V9">
        <v>5.5</v>
      </c>
      <c r="W9">
        <v>8.5</v>
      </c>
      <c r="X9">
        <f>SUM(Table1451410[[#This Row],[912]:[112]])</f>
        <v>45</v>
      </c>
      <c r="Y9">
        <f>AVERAGE(Table1451410[[#This Row],[912]:[112]])</f>
        <v>5</v>
      </c>
    </row>
    <row r="10" spans="1:25" x14ac:dyDescent="0.35">
      <c r="A10" t="s">
        <v>136</v>
      </c>
      <c r="B10">
        <v>4</v>
      </c>
      <c r="C10">
        <v>4</v>
      </c>
      <c r="D10">
        <v>4</v>
      </c>
      <c r="E10">
        <v>4</v>
      </c>
      <c r="F10">
        <v>4</v>
      </c>
      <c r="G10">
        <v>4</v>
      </c>
      <c r="H10">
        <v>4</v>
      </c>
      <c r="I10">
        <v>4</v>
      </c>
      <c r="J10">
        <v>4</v>
      </c>
      <c r="K10">
        <f>SUM(Table145[[#This Row],[912]:[112]])</f>
        <v>36</v>
      </c>
      <c r="L10">
        <f>AVERAGE(Table145[[#This Row],[112]])</f>
        <v>4</v>
      </c>
      <c r="N10" t="s">
        <v>136</v>
      </c>
      <c r="O10">
        <v>5</v>
      </c>
      <c r="P10">
        <v>5</v>
      </c>
      <c r="Q10">
        <v>5</v>
      </c>
      <c r="R10">
        <v>5</v>
      </c>
      <c r="S10">
        <v>5</v>
      </c>
      <c r="T10">
        <v>5</v>
      </c>
      <c r="U10">
        <v>5</v>
      </c>
      <c r="V10">
        <v>5</v>
      </c>
      <c r="W10">
        <v>5</v>
      </c>
      <c r="X10">
        <f>SUM(Table1451410[[#This Row],[912]:[112]])</f>
        <v>45</v>
      </c>
      <c r="Y10">
        <f>AVERAGE(Table1451410[[#This Row],[912]:[112]])</f>
        <v>5</v>
      </c>
    </row>
    <row r="11" spans="1:25" x14ac:dyDescent="0.35">
      <c r="A11" t="s">
        <v>135</v>
      </c>
      <c r="B11">
        <v>4</v>
      </c>
      <c r="C11">
        <v>4</v>
      </c>
      <c r="D11">
        <v>4</v>
      </c>
      <c r="E11">
        <v>2</v>
      </c>
      <c r="F11">
        <v>2</v>
      </c>
      <c r="G11">
        <v>2</v>
      </c>
      <c r="H11">
        <v>2</v>
      </c>
      <c r="I11">
        <v>2</v>
      </c>
      <c r="J11">
        <v>4</v>
      </c>
      <c r="K11">
        <f>SUM(Table145[[#This Row],[912]:[112]])</f>
        <v>26</v>
      </c>
      <c r="L11">
        <f>AVERAGE(Table145[[#This Row],[112]])</f>
        <v>4</v>
      </c>
      <c r="N11" t="s">
        <v>135</v>
      </c>
      <c r="O11">
        <v>7.5</v>
      </c>
      <c r="P11">
        <v>7.5</v>
      </c>
      <c r="Q11">
        <v>7.5</v>
      </c>
      <c r="R11">
        <v>3</v>
      </c>
      <c r="S11">
        <v>3</v>
      </c>
      <c r="T11">
        <v>3</v>
      </c>
      <c r="U11">
        <v>3</v>
      </c>
      <c r="V11">
        <v>3</v>
      </c>
      <c r="W11">
        <v>7.5</v>
      </c>
      <c r="X11">
        <f>SUM(Table1451410[[#This Row],[912]:[112]])</f>
        <v>45</v>
      </c>
      <c r="Y11">
        <f>AVERAGE(Table1451410[[#This Row],[912]:[112]])</f>
        <v>5</v>
      </c>
    </row>
    <row r="12" spans="1:25" x14ac:dyDescent="0.35">
      <c r="A12" t="s">
        <v>134</v>
      </c>
      <c r="B12">
        <v>5</v>
      </c>
      <c r="C12">
        <v>5</v>
      </c>
      <c r="D12">
        <v>4</v>
      </c>
      <c r="E12">
        <v>4</v>
      </c>
      <c r="F12">
        <v>4</v>
      </c>
      <c r="G12">
        <v>4</v>
      </c>
      <c r="H12">
        <v>4</v>
      </c>
      <c r="I12">
        <v>4</v>
      </c>
      <c r="J12">
        <v>5</v>
      </c>
      <c r="K12">
        <f>SUM(Table145[[#This Row],[912]:[112]])</f>
        <v>39</v>
      </c>
      <c r="L12">
        <f>AVERAGE(Table145[[#This Row],[112]])</f>
        <v>5</v>
      </c>
      <c r="N12" t="s">
        <v>134</v>
      </c>
      <c r="O12">
        <v>8</v>
      </c>
      <c r="P12">
        <v>8</v>
      </c>
      <c r="Q12">
        <v>3.5</v>
      </c>
      <c r="R12">
        <v>3.5</v>
      </c>
      <c r="S12">
        <v>3.5</v>
      </c>
      <c r="T12">
        <v>3.5</v>
      </c>
      <c r="U12">
        <v>3.5</v>
      </c>
      <c r="V12">
        <v>3.5</v>
      </c>
      <c r="W12">
        <v>8</v>
      </c>
      <c r="X12">
        <f>SUM(Table1451410[[#This Row],[912]:[112]])</f>
        <v>45</v>
      </c>
      <c r="Y12">
        <f>AVERAGE(Table1451410[[#This Row],[912]:[112]])</f>
        <v>5</v>
      </c>
    </row>
    <row r="13" spans="1:25" x14ac:dyDescent="0.35">
      <c r="A13" t="s">
        <v>133</v>
      </c>
      <c r="B13">
        <v>5</v>
      </c>
      <c r="C13">
        <v>5</v>
      </c>
      <c r="D13">
        <v>5</v>
      </c>
      <c r="E13">
        <v>5</v>
      </c>
      <c r="F13">
        <v>5</v>
      </c>
      <c r="G13">
        <v>5</v>
      </c>
      <c r="H13">
        <v>4</v>
      </c>
      <c r="I13">
        <v>4</v>
      </c>
      <c r="J13">
        <v>3</v>
      </c>
      <c r="K13">
        <f>SUM(Table145[[#This Row],[912]:[112]])</f>
        <v>41</v>
      </c>
      <c r="L13">
        <f>AVERAGE(Table145[[#This Row],[112]])</f>
        <v>3</v>
      </c>
      <c r="N13" t="s">
        <v>133</v>
      </c>
      <c r="O13">
        <v>6.5</v>
      </c>
      <c r="P13">
        <v>6.5</v>
      </c>
      <c r="Q13">
        <v>6.5</v>
      </c>
      <c r="R13">
        <v>6.5</v>
      </c>
      <c r="S13">
        <v>6.5</v>
      </c>
      <c r="T13">
        <v>6.5</v>
      </c>
      <c r="U13">
        <v>2.5</v>
      </c>
      <c r="V13">
        <v>2.5</v>
      </c>
      <c r="W13">
        <v>1</v>
      </c>
      <c r="X13">
        <f>SUM(Table1451410[[#This Row],[912]:[112]])</f>
        <v>45</v>
      </c>
      <c r="Y13" s="5">
        <f>AVERAGE(Table1451410[[#This Row],[912]:[112]])</f>
        <v>5</v>
      </c>
    </row>
    <row r="14" spans="1:25" x14ac:dyDescent="0.35">
      <c r="A14" t="s">
        <v>132</v>
      </c>
      <c r="B14">
        <v>4</v>
      </c>
      <c r="C14">
        <v>4</v>
      </c>
      <c r="D14">
        <v>3</v>
      </c>
      <c r="E14">
        <v>3</v>
      </c>
      <c r="F14">
        <v>4</v>
      </c>
      <c r="G14">
        <v>3</v>
      </c>
      <c r="H14">
        <v>3</v>
      </c>
      <c r="I14">
        <v>5</v>
      </c>
      <c r="J14">
        <v>4</v>
      </c>
      <c r="K14">
        <f>SUM(Table145[[#This Row],[912]:[112]])</f>
        <v>33</v>
      </c>
      <c r="L14">
        <f>AVERAGE(Table145[[#This Row],[112]])</f>
        <v>4</v>
      </c>
      <c r="N14" t="s">
        <v>132</v>
      </c>
      <c r="O14">
        <v>6.5</v>
      </c>
      <c r="P14">
        <v>6.5</v>
      </c>
      <c r="Q14">
        <v>2.5</v>
      </c>
      <c r="R14">
        <v>2.5</v>
      </c>
      <c r="S14">
        <v>6.5</v>
      </c>
      <c r="T14">
        <v>2.5</v>
      </c>
      <c r="U14">
        <v>2.5</v>
      </c>
      <c r="V14">
        <v>9</v>
      </c>
      <c r="W14">
        <v>6.5</v>
      </c>
      <c r="X14">
        <f>SUM(Table1451410[[#This Row],[912]:[112]])</f>
        <v>45</v>
      </c>
      <c r="Y14">
        <f>AVERAGE(Table1451410[[#This Row],[912]:[112]])</f>
        <v>5</v>
      </c>
    </row>
    <row r="15" spans="1:25" x14ac:dyDescent="0.35">
      <c r="A15" t="s">
        <v>131</v>
      </c>
      <c r="B15">
        <v>3</v>
      </c>
      <c r="C15">
        <v>3</v>
      </c>
      <c r="D15">
        <v>3</v>
      </c>
      <c r="E15">
        <v>3</v>
      </c>
      <c r="F15">
        <v>3</v>
      </c>
      <c r="G15">
        <v>3</v>
      </c>
      <c r="H15">
        <v>5</v>
      </c>
      <c r="I15">
        <v>2</v>
      </c>
      <c r="J15">
        <v>2</v>
      </c>
      <c r="K15">
        <f>SUM(Table145[[#This Row],[912]:[112]])</f>
        <v>27</v>
      </c>
      <c r="L15">
        <f>AVERAGE(Table145[[#This Row],[112]])</f>
        <v>2</v>
      </c>
      <c r="N15" t="s">
        <v>131</v>
      </c>
      <c r="O15">
        <v>5.5</v>
      </c>
      <c r="P15">
        <v>5.5</v>
      </c>
      <c r="Q15">
        <v>5.5</v>
      </c>
      <c r="R15">
        <v>5.5</v>
      </c>
      <c r="S15">
        <v>5.5</v>
      </c>
      <c r="T15">
        <v>5.5</v>
      </c>
      <c r="U15">
        <v>9</v>
      </c>
      <c r="V15">
        <v>1.5</v>
      </c>
      <c r="W15">
        <v>1.5</v>
      </c>
      <c r="X15">
        <f>SUM(Table1451410[[#This Row],[912]:[112]])</f>
        <v>45</v>
      </c>
      <c r="Y15">
        <f>AVERAGE(Table1451410[[#This Row],[912]:[112]])</f>
        <v>5</v>
      </c>
    </row>
    <row r="16" spans="1:25" x14ac:dyDescent="0.35">
      <c r="A16" t="s">
        <v>130</v>
      </c>
      <c r="B16">
        <v>3</v>
      </c>
      <c r="C16">
        <v>3</v>
      </c>
      <c r="D16">
        <v>3</v>
      </c>
      <c r="E16">
        <v>2</v>
      </c>
      <c r="F16">
        <v>4</v>
      </c>
      <c r="G16">
        <v>4</v>
      </c>
      <c r="H16">
        <v>4</v>
      </c>
      <c r="I16">
        <v>4</v>
      </c>
      <c r="J16">
        <v>3</v>
      </c>
      <c r="K16">
        <f>SUM(Table145[[#This Row],[912]:[112]])</f>
        <v>30</v>
      </c>
      <c r="L16">
        <f>AVERAGE(Table145[[#This Row],[112]])</f>
        <v>3</v>
      </c>
      <c r="N16" t="s">
        <v>130</v>
      </c>
      <c r="O16">
        <v>3.5</v>
      </c>
      <c r="P16">
        <v>3.5</v>
      </c>
      <c r="Q16">
        <v>3.5</v>
      </c>
      <c r="R16">
        <v>1</v>
      </c>
      <c r="S16">
        <v>7.5</v>
      </c>
      <c r="T16">
        <v>7.5</v>
      </c>
      <c r="U16">
        <v>7.5</v>
      </c>
      <c r="V16">
        <v>7.5</v>
      </c>
      <c r="W16">
        <v>3.5</v>
      </c>
      <c r="X16">
        <f>SUM(Table1451410[[#This Row],[912]:[112]])</f>
        <v>45</v>
      </c>
      <c r="Y16" s="5">
        <f>AVERAGE(Table1451410[[#This Row],[912]:[112]])</f>
        <v>5</v>
      </c>
    </row>
    <row r="17" spans="1:25" x14ac:dyDescent="0.35">
      <c r="A17" t="s">
        <v>129</v>
      </c>
      <c r="B17">
        <v>3</v>
      </c>
      <c r="C17">
        <v>2</v>
      </c>
      <c r="D17">
        <v>2</v>
      </c>
      <c r="E17">
        <v>5</v>
      </c>
      <c r="F17">
        <v>1</v>
      </c>
      <c r="G17">
        <v>2</v>
      </c>
      <c r="H17">
        <v>3</v>
      </c>
      <c r="I17">
        <v>3</v>
      </c>
      <c r="J17">
        <v>4</v>
      </c>
      <c r="K17">
        <f>SUM(Table145[[#This Row],[912]:[112]])</f>
        <v>25</v>
      </c>
      <c r="L17">
        <f>AVERAGE(Table145[[#This Row],[112]])</f>
        <v>4</v>
      </c>
      <c r="N17" t="s">
        <v>129</v>
      </c>
      <c r="O17">
        <v>6</v>
      </c>
      <c r="P17">
        <v>3</v>
      </c>
      <c r="Q17">
        <v>3</v>
      </c>
      <c r="R17">
        <v>9</v>
      </c>
      <c r="S17">
        <v>1</v>
      </c>
      <c r="T17">
        <v>3</v>
      </c>
      <c r="U17">
        <v>6</v>
      </c>
      <c r="V17">
        <v>6</v>
      </c>
      <c r="W17">
        <v>8</v>
      </c>
      <c r="X17">
        <f>SUM(Table1451410[[#This Row],[912]:[112]])</f>
        <v>45</v>
      </c>
      <c r="Y17">
        <f>AVERAGE(Table1451410[[#This Row],[912]:[112]])</f>
        <v>5</v>
      </c>
    </row>
    <row r="18" spans="1:25" x14ac:dyDescent="0.35">
      <c r="A18" t="s">
        <v>128</v>
      </c>
      <c r="B18">
        <v>4</v>
      </c>
      <c r="C18">
        <v>4</v>
      </c>
      <c r="D18">
        <v>5</v>
      </c>
      <c r="E18">
        <v>4</v>
      </c>
      <c r="F18">
        <v>5</v>
      </c>
      <c r="G18">
        <v>5</v>
      </c>
      <c r="H18">
        <v>5</v>
      </c>
      <c r="I18">
        <v>5</v>
      </c>
      <c r="J18">
        <v>5</v>
      </c>
      <c r="K18">
        <f>SUM(Table145[[#This Row],[912]:[112]])</f>
        <v>42</v>
      </c>
      <c r="L18">
        <f>AVERAGE(Table145[[#This Row],[112]])</f>
        <v>5</v>
      </c>
      <c r="N18" t="s">
        <v>128</v>
      </c>
      <c r="O18">
        <v>2</v>
      </c>
      <c r="P18">
        <v>2</v>
      </c>
      <c r="Q18">
        <v>6.5</v>
      </c>
      <c r="R18">
        <v>2</v>
      </c>
      <c r="S18">
        <v>6.5</v>
      </c>
      <c r="T18">
        <v>6.5</v>
      </c>
      <c r="U18">
        <v>6.5</v>
      </c>
      <c r="V18">
        <v>6.5</v>
      </c>
      <c r="W18">
        <v>6.5</v>
      </c>
      <c r="X18">
        <f>SUM(Table1451410[[#This Row],[912]:[112]])</f>
        <v>45</v>
      </c>
      <c r="Y18">
        <f>AVERAGE(Table1451410[[#This Row],[912]:[112]])</f>
        <v>5</v>
      </c>
    </row>
    <row r="19" spans="1:25" x14ac:dyDescent="0.35">
      <c r="A19" t="s">
        <v>127</v>
      </c>
      <c r="B19">
        <v>3</v>
      </c>
      <c r="C19">
        <v>3</v>
      </c>
      <c r="D19">
        <v>4</v>
      </c>
      <c r="E19">
        <v>3</v>
      </c>
      <c r="F19">
        <v>3</v>
      </c>
      <c r="G19">
        <v>4</v>
      </c>
      <c r="H19">
        <v>4</v>
      </c>
      <c r="I19">
        <v>3</v>
      </c>
      <c r="J19">
        <v>2</v>
      </c>
      <c r="K19">
        <f>SUM(Table145[[#This Row],[912]:[112]])</f>
        <v>29</v>
      </c>
      <c r="L19">
        <f>AVERAGE(Table145[[#This Row],[112]])</f>
        <v>2</v>
      </c>
      <c r="N19" t="s">
        <v>127</v>
      </c>
      <c r="O19">
        <v>4</v>
      </c>
      <c r="P19">
        <v>4</v>
      </c>
      <c r="Q19">
        <v>8</v>
      </c>
      <c r="R19">
        <v>4</v>
      </c>
      <c r="S19">
        <v>4</v>
      </c>
      <c r="T19">
        <v>8</v>
      </c>
      <c r="U19">
        <v>8</v>
      </c>
      <c r="V19">
        <v>4</v>
      </c>
      <c r="W19">
        <v>1</v>
      </c>
      <c r="X19">
        <f>SUM(Table1451410[[#This Row],[912]:[112]])</f>
        <v>45</v>
      </c>
      <c r="Y19" s="5">
        <f>AVERAGE(Table1451410[[#This Row],[912]:[112]])</f>
        <v>5</v>
      </c>
    </row>
    <row r="20" spans="1:25" x14ac:dyDescent="0.35">
      <c r="A20" t="s">
        <v>126</v>
      </c>
      <c r="B20">
        <v>4</v>
      </c>
      <c r="C20">
        <v>4</v>
      </c>
      <c r="D20">
        <v>4</v>
      </c>
      <c r="E20">
        <v>2</v>
      </c>
      <c r="F20">
        <v>2</v>
      </c>
      <c r="G20">
        <v>3</v>
      </c>
      <c r="H20">
        <v>3</v>
      </c>
      <c r="I20">
        <v>2</v>
      </c>
      <c r="J20">
        <v>3</v>
      </c>
      <c r="K20">
        <f>SUM(Table145[[#This Row],[912]:[112]])</f>
        <v>27</v>
      </c>
      <c r="L20">
        <f>AVERAGE(Table145[[#This Row],[112]])</f>
        <v>3</v>
      </c>
      <c r="N20" t="s">
        <v>126</v>
      </c>
      <c r="O20">
        <v>8</v>
      </c>
      <c r="P20">
        <v>8</v>
      </c>
      <c r="Q20">
        <v>8</v>
      </c>
      <c r="R20">
        <v>2</v>
      </c>
      <c r="S20">
        <v>2</v>
      </c>
      <c r="T20">
        <v>5</v>
      </c>
      <c r="U20">
        <v>5</v>
      </c>
      <c r="V20">
        <v>2</v>
      </c>
      <c r="W20">
        <v>5</v>
      </c>
      <c r="X20">
        <f>SUM(Table1451410[[#This Row],[912]:[112]])</f>
        <v>45</v>
      </c>
      <c r="Y20">
        <f>AVERAGE(Table1451410[[#This Row],[912]:[112]])</f>
        <v>5</v>
      </c>
    </row>
    <row r="21" spans="1:25" x14ac:dyDescent="0.35">
      <c r="A21" t="s">
        <v>125</v>
      </c>
      <c r="B21">
        <v>4</v>
      </c>
      <c r="C21">
        <v>4</v>
      </c>
      <c r="D21">
        <v>3</v>
      </c>
      <c r="E21">
        <v>2</v>
      </c>
      <c r="F21">
        <v>3</v>
      </c>
      <c r="G21">
        <v>4</v>
      </c>
      <c r="H21">
        <v>3</v>
      </c>
      <c r="I21">
        <v>5</v>
      </c>
      <c r="J21">
        <v>4</v>
      </c>
      <c r="K21">
        <f>SUM(Table145[[#This Row],[912]:[112]])</f>
        <v>32</v>
      </c>
      <c r="L21">
        <f>AVERAGE(Table145[[#This Row],[112]])</f>
        <v>4</v>
      </c>
      <c r="N21" t="s">
        <v>125</v>
      </c>
      <c r="O21">
        <v>6.5</v>
      </c>
      <c r="P21">
        <v>6.5</v>
      </c>
      <c r="Q21">
        <v>3</v>
      </c>
      <c r="R21">
        <v>1</v>
      </c>
      <c r="S21">
        <v>3</v>
      </c>
      <c r="T21">
        <v>6.5</v>
      </c>
      <c r="U21">
        <v>3</v>
      </c>
      <c r="V21">
        <v>9</v>
      </c>
      <c r="W21">
        <v>6.5</v>
      </c>
      <c r="X21">
        <f>SUM(Table1451410[[#This Row],[912]:[112]])</f>
        <v>45</v>
      </c>
      <c r="Y21" s="5">
        <f>AVERAGE(Table1451410[[#This Row],[912]:[112]])</f>
        <v>5</v>
      </c>
    </row>
    <row r="22" spans="1:25" x14ac:dyDescent="0.35">
      <c r="A22" t="s">
        <v>124</v>
      </c>
      <c r="B22">
        <v>3</v>
      </c>
      <c r="C22">
        <v>3</v>
      </c>
      <c r="D22">
        <v>3</v>
      </c>
      <c r="E22">
        <v>4</v>
      </c>
      <c r="F22">
        <v>3</v>
      </c>
      <c r="G22">
        <v>3</v>
      </c>
      <c r="H22">
        <v>4</v>
      </c>
      <c r="I22">
        <v>4</v>
      </c>
      <c r="J22">
        <v>4</v>
      </c>
      <c r="K22">
        <f>SUM(Table145[[#This Row],[912]:[112]])</f>
        <v>31</v>
      </c>
      <c r="L22">
        <f>AVERAGE(Table145[[#This Row],[112]])</f>
        <v>4</v>
      </c>
      <c r="N22" t="s">
        <v>124</v>
      </c>
      <c r="O22">
        <v>3</v>
      </c>
      <c r="P22">
        <v>3</v>
      </c>
      <c r="Q22">
        <v>3</v>
      </c>
      <c r="R22">
        <v>7.5</v>
      </c>
      <c r="S22">
        <v>3</v>
      </c>
      <c r="T22">
        <v>3</v>
      </c>
      <c r="U22">
        <v>7.5</v>
      </c>
      <c r="V22">
        <v>7.5</v>
      </c>
      <c r="W22">
        <v>7.5</v>
      </c>
      <c r="X22">
        <f>SUM(Table1451410[[#This Row],[912]:[112]])</f>
        <v>45</v>
      </c>
      <c r="Y22">
        <f>AVERAGE(Table1451410[[#This Row],[912]:[112]])</f>
        <v>5</v>
      </c>
    </row>
    <row r="23" spans="1:25" x14ac:dyDescent="0.35">
      <c r="A23" t="s">
        <v>123</v>
      </c>
      <c r="B23">
        <v>2</v>
      </c>
      <c r="C23">
        <v>3</v>
      </c>
      <c r="D23">
        <v>2</v>
      </c>
      <c r="E23">
        <v>3</v>
      </c>
      <c r="F23">
        <v>3</v>
      </c>
      <c r="G23">
        <v>3</v>
      </c>
      <c r="H23">
        <v>4</v>
      </c>
      <c r="I23">
        <v>4</v>
      </c>
      <c r="J23">
        <v>4</v>
      </c>
      <c r="K23">
        <f>SUM(Table145[[#This Row],[912]:[112]])</f>
        <v>28</v>
      </c>
      <c r="L23">
        <f>AVERAGE(Table145[[#This Row],[112]])</f>
        <v>4</v>
      </c>
      <c r="N23" t="s">
        <v>123</v>
      </c>
      <c r="O23">
        <v>1.5</v>
      </c>
      <c r="P23">
        <v>4.5</v>
      </c>
      <c r="Q23">
        <v>1.5</v>
      </c>
      <c r="R23">
        <v>4.5</v>
      </c>
      <c r="S23">
        <v>4.5</v>
      </c>
      <c r="T23">
        <v>4.5</v>
      </c>
      <c r="U23">
        <v>8</v>
      </c>
      <c r="V23">
        <v>8</v>
      </c>
      <c r="W23">
        <v>8</v>
      </c>
      <c r="X23">
        <f>SUM(Table1451410[[#This Row],[912]:[112]])</f>
        <v>45</v>
      </c>
      <c r="Y23">
        <f>AVERAGE(Table1451410[[#This Row],[912]:[112]])</f>
        <v>5</v>
      </c>
    </row>
    <row r="24" spans="1:25" x14ac:dyDescent="0.35">
      <c r="A24" t="s">
        <v>122</v>
      </c>
      <c r="B24">
        <v>5</v>
      </c>
      <c r="C24">
        <v>4</v>
      </c>
      <c r="D24">
        <v>5</v>
      </c>
      <c r="E24">
        <v>3</v>
      </c>
      <c r="F24">
        <v>3</v>
      </c>
      <c r="G24">
        <v>3</v>
      </c>
      <c r="H24">
        <v>4</v>
      </c>
      <c r="I24">
        <v>3</v>
      </c>
      <c r="J24">
        <v>2</v>
      </c>
      <c r="K24">
        <f>SUM(Table145[[#This Row],[912]:[112]])</f>
        <v>32</v>
      </c>
      <c r="L24">
        <f>AVERAGE(Table145[[#This Row],[112]])</f>
        <v>2</v>
      </c>
      <c r="N24" t="s">
        <v>122</v>
      </c>
      <c r="O24">
        <v>8.5</v>
      </c>
      <c r="P24">
        <v>6.5</v>
      </c>
      <c r="Q24">
        <v>8.5</v>
      </c>
      <c r="R24">
        <v>3.5</v>
      </c>
      <c r="S24">
        <v>3.5</v>
      </c>
      <c r="T24">
        <v>3.5</v>
      </c>
      <c r="U24">
        <v>6.5</v>
      </c>
      <c r="V24">
        <v>3.5</v>
      </c>
      <c r="W24">
        <v>1</v>
      </c>
      <c r="X24">
        <f>SUM(Table1451410[[#This Row],[912]:[112]])</f>
        <v>45</v>
      </c>
      <c r="Y24" s="5">
        <f>AVERAGE(Table1451410[[#This Row],[912]:[112]])</f>
        <v>5</v>
      </c>
    </row>
    <row r="25" spans="1:25" x14ac:dyDescent="0.35">
      <c r="A25" t="s">
        <v>121</v>
      </c>
      <c r="B25">
        <v>4</v>
      </c>
      <c r="C25">
        <v>4</v>
      </c>
      <c r="D25">
        <v>5</v>
      </c>
      <c r="E25">
        <v>4</v>
      </c>
      <c r="F25">
        <v>2</v>
      </c>
      <c r="G25">
        <v>5</v>
      </c>
      <c r="H25">
        <v>4</v>
      </c>
      <c r="I25">
        <v>3</v>
      </c>
      <c r="J25">
        <v>3</v>
      </c>
      <c r="K25">
        <f>SUM(Table145[[#This Row],[912]:[112]])</f>
        <v>34</v>
      </c>
      <c r="L25">
        <f>AVERAGE(Table145[[#This Row],[112]])</f>
        <v>3</v>
      </c>
      <c r="N25" t="s">
        <v>121</v>
      </c>
      <c r="O25">
        <v>5.5</v>
      </c>
      <c r="P25">
        <v>5.5</v>
      </c>
      <c r="Q25">
        <v>8.5</v>
      </c>
      <c r="R25">
        <v>5.5</v>
      </c>
      <c r="S25">
        <v>1</v>
      </c>
      <c r="T25">
        <v>8.5</v>
      </c>
      <c r="U25">
        <v>5.5</v>
      </c>
      <c r="V25">
        <v>2.5</v>
      </c>
      <c r="W25">
        <v>2.5</v>
      </c>
      <c r="X25">
        <f>SUM(Table1451410[[#This Row],[912]:[112]])</f>
        <v>45</v>
      </c>
      <c r="Y25" s="5">
        <f>AVERAGE(Table1451410[[#This Row],[912]:[112]])</f>
        <v>5</v>
      </c>
    </row>
    <row r="26" spans="1:25" x14ac:dyDescent="0.35">
      <c r="A26" t="s">
        <v>120</v>
      </c>
      <c r="B26">
        <v>5</v>
      </c>
      <c r="C26">
        <v>3</v>
      </c>
      <c r="D26">
        <v>4</v>
      </c>
      <c r="E26">
        <v>3</v>
      </c>
      <c r="F26">
        <v>2</v>
      </c>
      <c r="G26">
        <v>4</v>
      </c>
      <c r="H26">
        <v>4</v>
      </c>
      <c r="I26">
        <v>5</v>
      </c>
      <c r="J26">
        <v>4</v>
      </c>
      <c r="K26">
        <f>SUM(Table145[[#This Row],[912]:[112]])</f>
        <v>34</v>
      </c>
      <c r="L26">
        <f>AVERAGE(Table145[[#This Row],[112]])</f>
        <v>4</v>
      </c>
      <c r="N26" t="s">
        <v>120</v>
      </c>
      <c r="O26">
        <v>8.5</v>
      </c>
      <c r="P26">
        <v>2.5</v>
      </c>
      <c r="Q26">
        <v>5.5</v>
      </c>
      <c r="R26">
        <v>2.5</v>
      </c>
      <c r="S26">
        <v>1</v>
      </c>
      <c r="T26">
        <v>5.5</v>
      </c>
      <c r="U26">
        <v>5.5</v>
      </c>
      <c r="V26">
        <v>8.5</v>
      </c>
      <c r="W26">
        <v>5.5</v>
      </c>
      <c r="X26">
        <f>SUM(Table1451410[[#This Row],[912]:[112]])</f>
        <v>45</v>
      </c>
      <c r="Y26" s="5">
        <f>AVERAGE(Table1451410[[#This Row],[912]:[112]])</f>
        <v>5</v>
      </c>
    </row>
    <row r="27" spans="1:25" x14ac:dyDescent="0.35">
      <c r="A27" t="s">
        <v>119</v>
      </c>
      <c r="B27">
        <v>4</v>
      </c>
      <c r="C27">
        <v>3</v>
      </c>
      <c r="D27">
        <v>5</v>
      </c>
      <c r="E27">
        <v>4</v>
      </c>
      <c r="F27">
        <v>3</v>
      </c>
      <c r="G27">
        <v>4</v>
      </c>
      <c r="H27">
        <v>5</v>
      </c>
      <c r="I27">
        <v>2</v>
      </c>
      <c r="J27">
        <v>5</v>
      </c>
      <c r="K27">
        <f>SUM(Table145[[#This Row],[912]:[112]])</f>
        <v>35</v>
      </c>
      <c r="L27" s="4">
        <f>AVERAGE(Table145[[#This Row],[912]:[112]])</f>
        <v>3.8888888888888888</v>
      </c>
      <c r="N27" t="s">
        <v>119</v>
      </c>
      <c r="O27">
        <v>5</v>
      </c>
      <c r="P27">
        <v>2.5</v>
      </c>
      <c r="Q27">
        <v>8</v>
      </c>
      <c r="R27">
        <v>5</v>
      </c>
      <c r="S27">
        <v>2.5</v>
      </c>
      <c r="T27">
        <v>5</v>
      </c>
      <c r="U27">
        <v>8</v>
      </c>
      <c r="V27">
        <v>1</v>
      </c>
      <c r="W27">
        <v>8</v>
      </c>
      <c r="X27">
        <f>SUM(Table1451410[[#This Row],[912]:[112]])</f>
        <v>45</v>
      </c>
      <c r="Y27" s="5">
        <f>AVERAGE(Table1451410[[#This Row],[912]:[112]])</f>
        <v>5</v>
      </c>
    </row>
    <row r="28" spans="1:25" x14ac:dyDescent="0.35">
      <c r="A28" t="s">
        <v>118</v>
      </c>
      <c r="B28">
        <v>5</v>
      </c>
      <c r="C28">
        <v>3</v>
      </c>
      <c r="D28">
        <v>4</v>
      </c>
      <c r="E28">
        <v>5</v>
      </c>
      <c r="F28">
        <v>3</v>
      </c>
      <c r="G28">
        <v>5</v>
      </c>
      <c r="H28">
        <v>2</v>
      </c>
      <c r="I28">
        <v>4</v>
      </c>
      <c r="J28">
        <v>2</v>
      </c>
      <c r="K28">
        <f>SUM(Table145[[#This Row],[912]:[112]])</f>
        <v>33</v>
      </c>
      <c r="L28" s="4">
        <f>AVERAGE(Table145[[#This Row],[912]:[112]])</f>
        <v>3.6666666666666665</v>
      </c>
      <c r="N28" t="s">
        <v>118</v>
      </c>
      <c r="O28">
        <v>8</v>
      </c>
      <c r="P28">
        <v>3.5</v>
      </c>
      <c r="Q28">
        <v>5.5</v>
      </c>
      <c r="R28">
        <v>8</v>
      </c>
      <c r="S28">
        <v>3.5</v>
      </c>
      <c r="T28">
        <v>8</v>
      </c>
      <c r="U28">
        <v>1.5</v>
      </c>
      <c r="V28">
        <v>5.5</v>
      </c>
      <c r="W28">
        <v>1.5</v>
      </c>
      <c r="X28">
        <f>SUM(Table1451410[[#This Row],[912]:[112]])</f>
        <v>45</v>
      </c>
      <c r="Y28">
        <f>AVERAGE(Table1451410[[#This Row],[912]:[112]])</f>
        <v>5</v>
      </c>
    </row>
    <row r="29" spans="1:25" x14ac:dyDescent="0.35">
      <c r="A29" t="s">
        <v>117</v>
      </c>
      <c r="B29">
        <v>3</v>
      </c>
      <c r="C29">
        <v>5</v>
      </c>
      <c r="D29">
        <v>4</v>
      </c>
      <c r="E29">
        <v>5</v>
      </c>
      <c r="F29">
        <v>5</v>
      </c>
      <c r="G29">
        <v>5</v>
      </c>
      <c r="H29">
        <v>3</v>
      </c>
      <c r="I29">
        <v>5</v>
      </c>
      <c r="J29">
        <v>2</v>
      </c>
      <c r="K29">
        <f>SUM(Table145[[#This Row],[912]:[112]])</f>
        <v>37</v>
      </c>
      <c r="L29" s="4">
        <f>AVERAGE(Table145[[#This Row],[912]:[112]])</f>
        <v>4.1111111111111107</v>
      </c>
      <c r="N29" t="s">
        <v>117</v>
      </c>
      <c r="O29">
        <v>2.5</v>
      </c>
      <c r="P29">
        <v>7</v>
      </c>
      <c r="Q29">
        <v>4</v>
      </c>
      <c r="R29">
        <v>7</v>
      </c>
      <c r="S29">
        <v>7</v>
      </c>
      <c r="T29">
        <v>7</v>
      </c>
      <c r="U29">
        <v>2.5</v>
      </c>
      <c r="V29">
        <v>7</v>
      </c>
      <c r="W29">
        <v>1</v>
      </c>
      <c r="X29">
        <f>SUM(Table1451410[[#This Row],[912]:[112]])</f>
        <v>45</v>
      </c>
      <c r="Y29" s="5">
        <f>AVERAGE(Table1451410[[#This Row],[912]:[112]])</f>
        <v>5</v>
      </c>
    </row>
    <row r="30" spans="1:25" x14ac:dyDescent="0.35">
      <c r="A30" t="s">
        <v>116</v>
      </c>
      <c r="B30">
        <v>4</v>
      </c>
      <c r="C30">
        <v>5</v>
      </c>
      <c r="D30">
        <v>5</v>
      </c>
      <c r="E30">
        <v>5</v>
      </c>
      <c r="F30">
        <v>5</v>
      </c>
      <c r="G30">
        <v>3</v>
      </c>
      <c r="H30">
        <v>3</v>
      </c>
      <c r="I30">
        <v>4</v>
      </c>
      <c r="J30">
        <v>4</v>
      </c>
      <c r="K30">
        <f>SUM(Table145[[#This Row],[912]:[112]])</f>
        <v>38</v>
      </c>
      <c r="L30" s="4">
        <f>AVERAGE(Table145[[#This Row],[912]:[112]])</f>
        <v>4.2222222222222223</v>
      </c>
      <c r="N30" t="s">
        <v>116</v>
      </c>
      <c r="O30">
        <v>4</v>
      </c>
      <c r="P30">
        <v>7.5</v>
      </c>
      <c r="Q30">
        <v>7.5</v>
      </c>
      <c r="R30">
        <v>7.5</v>
      </c>
      <c r="S30">
        <v>7.5</v>
      </c>
      <c r="T30">
        <v>1.5</v>
      </c>
      <c r="U30">
        <v>1.5</v>
      </c>
      <c r="V30">
        <v>4</v>
      </c>
      <c r="W30">
        <v>4</v>
      </c>
      <c r="X30">
        <f>SUM(Table1451410[[#This Row],[912]:[112]])</f>
        <v>45</v>
      </c>
      <c r="Y30">
        <f>AVERAGE(Table1451410[[#This Row],[912]:[112]])</f>
        <v>5</v>
      </c>
    </row>
    <row r="31" spans="1:25" x14ac:dyDescent="0.35">
      <c r="A31" t="s">
        <v>115</v>
      </c>
      <c r="B31">
        <v>3</v>
      </c>
      <c r="C31">
        <v>3</v>
      </c>
      <c r="D31">
        <v>5</v>
      </c>
      <c r="E31">
        <v>5</v>
      </c>
      <c r="F31">
        <v>5</v>
      </c>
      <c r="G31">
        <v>5</v>
      </c>
      <c r="H31">
        <v>4</v>
      </c>
      <c r="I31">
        <v>4</v>
      </c>
      <c r="J31">
        <v>4</v>
      </c>
      <c r="K31">
        <f>SUM(Table145[[#This Row],[912]:[112]])</f>
        <v>38</v>
      </c>
      <c r="L31" s="4">
        <f>AVERAGE(Table145[[#This Row],[912]:[112]])</f>
        <v>4.2222222222222223</v>
      </c>
      <c r="N31" t="s">
        <v>115</v>
      </c>
      <c r="O31">
        <v>1.5</v>
      </c>
      <c r="P31">
        <v>1.5</v>
      </c>
      <c r="Q31">
        <v>7.5</v>
      </c>
      <c r="R31">
        <v>7.5</v>
      </c>
      <c r="S31">
        <v>7.5</v>
      </c>
      <c r="T31">
        <v>7.5</v>
      </c>
      <c r="U31">
        <v>4</v>
      </c>
      <c r="V31">
        <v>4</v>
      </c>
      <c r="W31">
        <v>4</v>
      </c>
      <c r="X31">
        <f>SUM(Table1451410[[#This Row],[912]:[112]])</f>
        <v>45</v>
      </c>
      <c r="Y31">
        <f>AVERAGE(Table1451410[[#This Row],[912]:[112]])</f>
        <v>5</v>
      </c>
    </row>
    <row r="32" spans="1:25" x14ac:dyDescent="0.35">
      <c r="A32" t="s">
        <v>54</v>
      </c>
      <c r="B32">
        <f t="shared" ref="B32:K32" si="0">SUM(B2:B31)</f>
        <v>109</v>
      </c>
      <c r="C32">
        <f t="shared" si="0"/>
        <v>110</v>
      </c>
      <c r="D32">
        <f t="shared" si="0"/>
        <v>114</v>
      </c>
      <c r="E32">
        <f t="shared" si="0"/>
        <v>102</v>
      </c>
      <c r="F32">
        <f t="shared" si="0"/>
        <v>104</v>
      </c>
      <c r="G32">
        <f t="shared" si="0"/>
        <v>110</v>
      </c>
      <c r="H32">
        <f t="shared" si="0"/>
        <v>112</v>
      </c>
      <c r="I32">
        <f t="shared" si="0"/>
        <v>108</v>
      </c>
      <c r="J32">
        <f t="shared" si="0"/>
        <v>106</v>
      </c>
      <c r="K32">
        <f t="shared" si="0"/>
        <v>975</v>
      </c>
      <c r="N32" t="s">
        <v>54</v>
      </c>
      <c r="O32">
        <f t="shared" ref="O32:X32" si="1">SUM(O2:O31)</f>
        <v>149.5</v>
      </c>
      <c r="P32">
        <f t="shared" si="1"/>
        <v>156.5</v>
      </c>
      <c r="Q32">
        <f t="shared" si="1"/>
        <v>164.5</v>
      </c>
      <c r="R32">
        <f t="shared" si="1"/>
        <v>127.5</v>
      </c>
      <c r="S32">
        <f t="shared" si="1"/>
        <v>143</v>
      </c>
      <c r="T32">
        <f t="shared" si="1"/>
        <v>155</v>
      </c>
      <c r="U32">
        <f t="shared" si="1"/>
        <v>158.5</v>
      </c>
      <c r="V32">
        <f t="shared" si="1"/>
        <v>151.5</v>
      </c>
      <c r="W32">
        <f t="shared" si="1"/>
        <v>144</v>
      </c>
      <c r="X32">
        <f t="shared" si="1"/>
        <v>1350</v>
      </c>
    </row>
    <row r="33" spans="1:25" x14ac:dyDescent="0.35">
      <c r="A33" t="s">
        <v>93</v>
      </c>
      <c r="B33" s="4">
        <f t="shared" ref="B33:J33" si="2">AVERAGE(B2:B31)</f>
        <v>3.6333333333333333</v>
      </c>
      <c r="C33" s="4">
        <f t="shared" si="2"/>
        <v>3.6666666666666665</v>
      </c>
      <c r="D33">
        <f t="shared" si="2"/>
        <v>3.8</v>
      </c>
      <c r="E33">
        <f t="shared" si="2"/>
        <v>3.4</v>
      </c>
      <c r="F33" s="4">
        <f t="shared" si="2"/>
        <v>3.4666666666666668</v>
      </c>
      <c r="G33" s="4">
        <f t="shared" si="2"/>
        <v>3.6666666666666665</v>
      </c>
      <c r="H33" s="4">
        <f t="shared" si="2"/>
        <v>3.7333333333333334</v>
      </c>
      <c r="I33">
        <f t="shared" si="2"/>
        <v>3.6</v>
      </c>
      <c r="J33" s="4">
        <f t="shared" si="2"/>
        <v>3.5333333333333332</v>
      </c>
      <c r="N33" t="s">
        <v>93</v>
      </c>
      <c r="O33" s="4">
        <f t="shared" ref="O33:W33" si="3">AVERAGE(O2:O31)</f>
        <v>4.9833333333333334</v>
      </c>
      <c r="P33" s="4">
        <f t="shared" si="3"/>
        <v>5.2166666666666668</v>
      </c>
      <c r="Q33" s="4">
        <f t="shared" si="3"/>
        <v>5.4833333333333334</v>
      </c>
      <c r="R33" s="4">
        <f t="shared" si="3"/>
        <v>4.25</v>
      </c>
      <c r="S33" s="4">
        <f t="shared" si="3"/>
        <v>4.7666666666666666</v>
      </c>
      <c r="T33" s="4">
        <f t="shared" si="3"/>
        <v>5.166666666666667</v>
      </c>
      <c r="U33" s="4">
        <f t="shared" si="3"/>
        <v>5.2833333333333332</v>
      </c>
      <c r="V33" s="4">
        <f t="shared" si="3"/>
        <v>5.05</v>
      </c>
      <c r="W33" s="4">
        <f t="shared" si="3"/>
        <v>4.8</v>
      </c>
    </row>
    <row r="35" spans="1:25" x14ac:dyDescent="0.35">
      <c r="F35" t="s">
        <v>257</v>
      </c>
      <c r="G35">
        <v>30</v>
      </c>
      <c r="O35" s="113" t="s">
        <v>114</v>
      </c>
      <c r="P35" s="114"/>
      <c r="Q35" s="114"/>
      <c r="R35" s="114"/>
      <c r="S35" s="114"/>
      <c r="T35" s="115"/>
      <c r="U35" s="14" t="s">
        <v>113</v>
      </c>
      <c r="V35" s="14" t="s">
        <v>112</v>
      </c>
      <c r="X35" t="s">
        <v>86</v>
      </c>
    </row>
    <row r="36" spans="1:25" x14ac:dyDescent="0.35">
      <c r="F36" t="s">
        <v>63</v>
      </c>
      <c r="G36">
        <v>9</v>
      </c>
      <c r="O36" s="112" t="s">
        <v>110</v>
      </c>
      <c r="P36" s="112"/>
      <c r="Q36" s="112"/>
      <c r="R36" s="112"/>
      <c r="S36" s="112"/>
      <c r="T36" s="112"/>
      <c r="U36" s="13">
        <f>B33</f>
        <v>3.6333333333333333</v>
      </c>
      <c r="V36" s="12">
        <f>O32</f>
        <v>149.5</v>
      </c>
      <c r="W36">
        <v>131</v>
      </c>
      <c r="X36" t="s">
        <v>87</v>
      </c>
      <c r="Y36" s="2">
        <f>W36+U45</f>
        <v>165.89571965155613</v>
      </c>
    </row>
    <row r="37" spans="1:25" x14ac:dyDescent="0.35">
      <c r="O37" s="112" t="s">
        <v>108</v>
      </c>
      <c r="P37" s="112"/>
      <c r="Q37" s="112"/>
      <c r="R37" s="112"/>
      <c r="S37" s="112"/>
      <c r="T37" s="112"/>
      <c r="U37" s="13">
        <f>C33</f>
        <v>3.6666666666666665</v>
      </c>
      <c r="V37" s="12">
        <f>P32</f>
        <v>156.5</v>
      </c>
      <c r="W37">
        <v>145</v>
      </c>
      <c r="X37" t="s">
        <v>87</v>
      </c>
    </row>
    <row r="38" spans="1:25" x14ac:dyDescent="0.35">
      <c r="F38" t="s">
        <v>75</v>
      </c>
      <c r="G38">
        <f>(12/(G35*G36*(G36+1))*SUMSQ(O32:W32)-3*G35*(G36+1))</f>
        <v>4.1933333333333849</v>
      </c>
      <c r="O38" s="112" t="s">
        <v>107</v>
      </c>
      <c r="P38" s="112"/>
      <c r="Q38" s="112"/>
      <c r="R38" s="112"/>
      <c r="S38" s="112"/>
      <c r="T38" s="112"/>
      <c r="U38" s="13">
        <f>D33</f>
        <v>3.8</v>
      </c>
      <c r="V38" s="12">
        <f>Q32</f>
        <v>164.5</v>
      </c>
      <c r="W38">
        <v>149</v>
      </c>
      <c r="X38" t="s">
        <v>87</v>
      </c>
    </row>
    <row r="39" spans="1:25" x14ac:dyDescent="0.35">
      <c r="F39" t="s">
        <v>111</v>
      </c>
      <c r="G39">
        <f>_xlfn.CHISQ.INV.RT(0.05,8)</f>
        <v>15.507313055865453</v>
      </c>
      <c r="O39" s="112" t="s">
        <v>106</v>
      </c>
      <c r="P39" s="112"/>
      <c r="Q39" s="112"/>
      <c r="R39" s="112"/>
      <c r="S39" s="112"/>
      <c r="T39" s="112"/>
      <c r="U39" s="13">
        <f>E33</f>
        <v>3.4</v>
      </c>
      <c r="V39" s="12">
        <f>R32</f>
        <v>127.5</v>
      </c>
      <c r="W39">
        <v>149.5</v>
      </c>
      <c r="X39" t="s">
        <v>87</v>
      </c>
    </row>
    <row r="40" spans="1:25" x14ac:dyDescent="0.35">
      <c r="F40" t="s">
        <v>109</v>
      </c>
      <c r="G40" t="str">
        <f>IF(G38&lt;G39,"H0 Diterima","H0 Ditolak")</f>
        <v>H0 Diterima</v>
      </c>
      <c r="O40" s="112" t="s">
        <v>105</v>
      </c>
      <c r="P40" s="112"/>
      <c r="Q40" s="112"/>
      <c r="R40" s="112"/>
      <c r="S40" s="112"/>
      <c r="T40" s="112"/>
      <c r="U40" s="13">
        <f>F33</f>
        <v>3.4666666666666668</v>
      </c>
      <c r="V40" s="12">
        <f>S32</f>
        <v>143</v>
      </c>
      <c r="W40">
        <v>152</v>
      </c>
      <c r="X40" t="s">
        <v>87</v>
      </c>
    </row>
    <row r="41" spans="1:25" x14ac:dyDescent="0.35">
      <c r="F41" s="94" t="s">
        <v>109</v>
      </c>
      <c r="G41" s="95" t="s">
        <v>258</v>
      </c>
      <c r="I41" t="s">
        <v>262</v>
      </c>
      <c r="O41" s="112" t="s">
        <v>104</v>
      </c>
      <c r="P41" s="112"/>
      <c r="Q41" s="112"/>
      <c r="R41" s="112"/>
      <c r="S41" s="112"/>
      <c r="T41" s="112"/>
      <c r="U41" s="13">
        <f>G33</f>
        <v>3.6666666666666665</v>
      </c>
      <c r="V41" s="12">
        <f>T32</f>
        <v>155</v>
      </c>
      <c r="W41">
        <v>155</v>
      </c>
      <c r="X41" t="s">
        <v>87</v>
      </c>
    </row>
    <row r="42" spans="1:25" x14ac:dyDescent="0.35">
      <c r="F42" s="98" t="s">
        <v>259</v>
      </c>
      <c r="G42" s="98" t="s">
        <v>260</v>
      </c>
      <c r="H42" s="98"/>
      <c r="I42" s="98" t="s">
        <v>261</v>
      </c>
      <c r="J42" s="98"/>
      <c r="K42" s="98"/>
      <c r="L42" s="98"/>
      <c r="O42" s="112" t="s">
        <v>103</v>
      </c>
      <c r="P42" s="112"/>
      <c r="Q42" s="112"/>
      <c r="R42" s="112"/>
      <c r="S42" s="112"/>
      <c r="T42" s="112"/>
      <c r="U42" s="13">
        <f>H33</f>
        <v>3.7333333333333334</v>
      </c>
      <c r="V42" s="12">
        <f>U32</f>
        <v>158.5</v>
      </c>
      <c r="W42">
        <v>156.5</v>
      </c>
      <c r="X42" t="s">
        <v>87</v>
      </c>
    </row>
    <row r="43" spans="1:25" x14ac:dyDescent="0.35">
      <c r="O43" s="112" t="s">
        <v>102</v>
      </c>
      <c r="P43" s="112"/>
      <c r="Q43" s="112"/>
      <c r="R43" s="112"/>
      <c r="S43" s="112"/>
      <c r="T43" s="112"/>
      <c r="U43" s="13">
        <f>I33</f>
        <v>3.6</v>
      </c>
      <c r="V43" s="12">
        <f>V32</f>
        <v>151.5</v>
      </c>
      <c r="W43">
        <v>158.5</v>
      </c>
      <c r="X43" t="s">
        <v>87</v>
      </c>
    </row>
    <row r="44" spans="1:25" x14ac:dyDescent="0.35">
      <c r="O44" s="112" t="s">
        <v>101</v>
      </c>
      <c r="P44" s="112"/>
      <c r="Q44" s="112"/>
      <c r="R44" s="112"/>
      <c r="S44" s="112"/>
      <c r="T44" s="112"/>
      <c r="U44" s="13">
        <f>J33</f>
        <v>3.5333333333333332</v>
      </c>
      <c r="V44" s="12">
        <f>W32</f>
        <v>144</v>
      </c>
      <c r="W44">
        <v>164.5</v>
      </c>
      <c r="X44" t="s">
        <v>87</v>
      </c>
    </row>
    <row r="45" spans="1:25" x14ac:dyDescent="0.35">
      <c r="O45" s="113" t="s">
        <v>100</v>
      </c>
      <c r="P45" s="114"/>
      <c r="Q45" s="114"/>
      <c r="R45" s="114"/>
      <c r="S45" s="114"/>
      <c r="T45" s="115"/>
      <c r="U45" s="116">
        <f>1.645*SQRT(30*9*(9+1)/6)</f>
        <v>34.895719651556121</v>
      </c>
      <c r="V45" s="117"/>
    </row>
    <row r="47" spans="1:25" x14ac:dyDescent="0.35">
      <c r="O47" t="s">
        <v>46</v>
      </c>
      <c r="P47">
        <v>131</v>
      </c>
      <c r="Q47" t="s">
        <v>87</v>
      </c>
      <c r="R47" s="2">
        <f>P50+$U$45</f>
        <v>184.39571965155613</v>
      </c>
    </row>
    <row r="48" spans="1:25" x14ac:dyDescent="0.35">
      <c r="O48" t="s">
        <v>49</v>
      </c>
      <c r="P48">
        <v>145</v>
      </c>
      <c r="Q48" t="s">
        <v>87</v>
      </c>
      <c r="R48" s="2"/>
    </row>
    <row r="49" spans="15:18" x14ac:dyDescent="0.35">
      <c r="O49" t="s">
        <v>53</v>
      </c>
      <c r="P49">
        <v>149</v>
      </c>
      <c r="Q49" t="s">
        <v>87</v>
      </c>
    </row>
    <row r="50" spans="15:18" x14ac:dyDescent="0.35">
      <c r="O50" t="s">
        <v>45</v>
      </c>
      <c r="P50">
        <v>149.5</v>
      </c>
      <c r="Q50" t="s">
        <v>87</v>
      </c>
    </row>
    <row r="51" spans="15:18" x14ac:dyDescent="0.35">
      <c r="O51" t="s">
        <v>50</v>
      </c>
      <c r="P51">
        <v>152</v>
      </c>
      <c r="Q51" t="s">
        <v>87</v>
      </c>
    </row>
    <row r="52" spans="15:18" x14ac:dyDescent="0.35">
      <c r="O52" t="s">
        <v>52</v>
      </c>
      <c r="P52">
        <v>155</v>
      </c>
      <c r="Q52" t="s">
        <v>87</v>
      </c>
    </row>
    <row r="53" spans="15:18" x14ac:dyDescent="0.35">
      <c r="O53" t="s">
        <v>48</v>
      </c>
      <c r="P53">
        <v>156.5</v>
      </c>
      <c r="Q53" t="s">
        <v>87</v>
      </c>
      <c r="R53" s="2"/>
    </row>
    <row r="54" spans="15:18" x14ac:dyDescent="0.35">
      <c r="O54" t="s">
        <v>47</v>
      </c>
      <c r="P54">
        <v>158.5</v>
      </c>
      <c r="Q54" t="s">
        <v>87</v>
      </c>
    </row>
    <row r="55" spans="15:18" x14ac:dyDescent="0.35">
      <c r="O55" t="s">
        <v>51</v>
      </c>
      <c r="P55">
        <v>164.5</v>
      </c>
      <c r="Q55" t="s">
        <v>87</v>
      </c>
      <c r="R55" s="2"/>
    </row>
  </sheetData>
  <sortState xmlns:xlrd2="http://schemas.microsoft.com/office/spreadsheetml/2017/richdata2" ref="O47:R55">
    <sortCondition ref="P47:P55"/>
  </sortState>
  <mergeCells count="12">
    <mergeCell ref="O44:T44"/>
    <mergeCell ref="O45:T45"/>
    <mergeCell ref="U45:V45"/>
    <mergeCell ref="O35:T35"/>
    <mergeCell ref="O36:T36"/>
    <mergeCell ref="O37:T37"/>
    <mergeCell ref="O38:T38"/>
    <mergeCell ref="O39:T39"/>
    <mergeCell ref="O40:T40"/>
    <mergeCell ref="O41:T41"/>
    <mergeCell ref="O42:T42"/>
    <mergeCell ref="O43:T43"/>
  </mergeCells>
  <conditionalFormatting sqref="X2:X31">
    <cfRule type="cellIs" dxfId="9" priority="1" operator="greaterThan">
      <formula>45</formula>
    </cfRule>
  </conditionalFormatting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FE9D8-DDE1-4D6B-B0FB-F0CB0336E661}">
  <dimension ref="A1:Y45"/>
  <sheetViews>
    <sheetView topLeftCell="F1" workbookViewId="0">
      <selection activeCell="Q5" sqref="Q5"/>
    </sheetView>
  </sheetViews>
  <sheetFormatPr defaultRowHeight="14.5" x14ac:dyDescent="0.35"/>
  <cols>
    <col min="11" max="11" width="10.26953125" customWidth="1"/>
    <col min="12" max="12" width="9.26953125" bestFit="1" customWidth="1"/>
  </cols>
  <sheetData>
    <row r="1" spans="1:25" x14ac:dyDescent="0.35">
      <c r="A1" t="s">
        <v>154</v>
      </c>
      <c r="B1" t="s">
        <v>153</v>
      </c>
      <c r="C1" t="s">
        <v>152</v>
      </c>
      <c r="D1" t="s">
        <v>151</v>
      </c>
      <c r="E1" t="s">
        <v>150</v>
      </c>
      <c r="F1" t="s">
        <v>149</v>
      </c>
      <c r="G1" t="s">
        <v>148</v>
      </c>
      <c r="H1" t="s">
        <v>147</v>
      </c>
      <c r="I1" t="s">
        <v>146</v>
      </c>
      <c r="J1" t="s">
        <v>145</v>
      </c>
      <c r="K1" t="s">
        <v>54</v>
      </c>
      <c r="L1" t="s">
        <v>93</v>
      </c>
      <c r="N1" t="s">
        <v>154</v>
      </c>
      <c r="O1" t="s">
        <v>153</v>
      </c>
      <c r="P1" t="s">
        <v>152</v>
      </c>
      <c r="Q1" t="s">
        <v>151</v>
      </c>
      <c r="R1" t="s">
        <v>150</v>
      </c>
      <c r="S1" t="s">
        <v>149</v>
      </c>
      <c r="T1" t="s">
        <v>148</v>
      </c>
      <c r="U1" t="s">
        <v>147</v>
      </c>
      <c r="V1" t="s">
        <v>146</v>
      </c>
      <c r="W1" t="s">
        <v>145</v>
      </c>
      <c r="X1" t="s">
        <v>54</v>
      </c>
      <c r="Y1" t="s">
        <v>93</v>
      </c>
    </row>
    <row r="2" spans="1:25" x14ac:dyDescent="0.35">
      <c r="A2" t="s">
        <v>144</v>
      </c>
      <c r="B2">
        <v>3</v>
      </c>
      <c r="C2">
        <v>5</v>
      </c>
      <c r="D2">
        <v>3</v>
      </c>
      <c r="E2">
        <v>3</v>
      </c>
      <c r="F2">
        <v>4</v>
      </c>
      <c r="G2">
        <v>4</v>
      </c>
      <c r="H2">
        <v>3</v>
      </c>
      <c r="I2">
        <v>4</v>
      </c>
      <c r="J2">
        <v>4</v>
      </c>
      <c r="K2">
        <f>SUM(Table1456[[#This Row],[912]:[112]])</f>
        <v>33</v>
      </c>
      <c r="L2" s="4">
        <f>AVERAGE(Table1456[[#This Row],[912]:[112]])</f>
        <v>3.6666666666666665</v>
      </c>
      <c r="N2" t="s">
        <v>144</v>
      </c>
      <c r="O2">
        <v>2.5</v>
      </c>
      <c r="P2">
        <v>9</v>
      </c>
      <c r="Q2">
        <v>2.5</v>
      </c>
      <c r="R2">
        <v>2.5</v>
      </c>
      <c r="S2">
        <v>6.5</v>
      </c>
      <c r="T2">
        <v>6.5</v>
      </c>
      <c r="U2">
        <v>2.5</v>
      </c>
      <c r="V2">
        <v>6.5</v>
      </c>
      <c r="W2">
        <v>6.5</v>
      </c>
      <c r="X2">
        <f>SUM(Table14561612[[#This Row],[912]:[112]])</f>
        <v>45</v>
      </c>
      <c r="Y2" s="4">
        <f>AVERAGE(Table14561612[[#This Row],[912]:[112]])</f>
        <v>5</v>
      </c>
    </row>
    <row r="3" spans="1:25" x14ac:dyDescent="0.35">
      <c r="A3" t="s">
        <v>143</v>
      </c>
      <c r="B3">
        <v>3</v>
      </c>
      <c r="C3">
        <v>3</v>
      </c>
      <c r="D3">
        <v>3</v>
      </c>
      <c r="E3">
        <v>3</v>
      </c>
      <c r="F3">
        <v>3</v>
      </c>
      <c r="G3">
        <v>3</v>
      </c>
      <c r="H3">
        <v>3</v>
      </c>
      <c r="I3">
        <v>3</v>
      </c>
      <c r="J3">
        <v>3</v>
      </c>
      <c r="K3">
        <f>SUM(Table1456[[#This Row],[912]:[112]])</f>
        <v>27</v>
      </c>
      <c r="L3">
        <f>AVERAGE(Table1456[[#This Row],[912]:[112]])</f>
        <v>3</v>
      </c>
      <c r="N3" t="s">
        <v>143</v>
      </c>
      <c r="O3">
        <v>5</v>
      </c>
      <c r="P3">
        <v>5</v>
      </c>
      <c r="Q3">
        <v>5</v>
      </c>
      <c r="R3">
        <v>5</v>
      </c>
      <c r="S3">
        <v>5</v>
      </c>
      <c r="T3">
        <v>5</v>
      </c>
      <c r="U3">
        <v>5</v>
      </c>
      <c r="V3">
        <v>5</v>
      </c>
      <c r="W3">
        <v>5</v>
      </c>
      <c r="X3">
        <f>SUM(Table14561612[[#This Row],[912]:[112]])</f>
        <v>45</v>
      </c>
      <c r="Y3" s="4">
        <f>AVERAGE(Table14561612[[#This Row],[912]:[112]])</f>
        <v>5</v>
      </c>
    </row>
    <row r="4" spans="1:25" x14ac:dyDescent="0.35">
      <c r="A4" t="s">
        <v>142</v>
      </c>
      <c r="B4">
        <v>4</v>
      </c>
      <c r="C4">
        <v>4</v>
      </c>
      <c r="D4">
        <v>4</v>
      </c>
      <c r="E4">
        <v>3</v>
      </c>
      <c r="F4">
        <v>4</v>
      </c>
      <c r="G4">
        <v>3</v>
      </c>
      <c r="H4">
        <v>5</v>
      </c>
      <c r="I4">
        <v>3</v>
      </c>
      <c r="J4">
        <v>2</v>
      </c>
      <c r="K4">
        <f>SUM(Table1456[[#This Row],[912]:[112]])</f>
        <v>32</v>
      </c>
      <c r="L4" s="4">
        <f>AVERAGE(Table1456[[#This Row],[912]:[112]])</f>
        <v>3.5555555555555554</v>
      </c>
      <c r="N4" t="s">
        <v>142</v>
      </c>
      <c r="O4">
        <v>6.5</v>
      </c>
      <c r="P4">
        <v>6.5</v>
      </c>
      <c r="Q4">
        <v>6.5</v>
      </c>
      <c r="R4">
        <v>3</v>
      </c>
      <c r="S4">
        <v>6.5</v>
      </c>
      <c r="T4">
        <v>3</v>
      </c>
      <c r="U4">
        <v>9</v>
      </c>
      <c r="V4">
        <v>3</v>
      </c>
      <c r="W4">
        <v>1</v>
      </c>
      <c r="X4">
        <f>SUM(Table14561612[[#This Row],[912]:[112]])</f>
        <v>45</v>
      </c>
      <c r="Y4" s="4">
        <f>AVERAGE(Table14561612[[#This Row],[912]:[112]])</f>
        <v>5</v>
      </c>
    </row>
    <row r="5" spans="1:25" x14ac:dyDescent="0.35">
      <c r="A5" t="s">
        <v>141</v>
      </c>
      <c r="B5">
        <v>3</v>
      </c>
      <c r="C5">
        <v>3</v>
      </c>
      <c r="D5">
        <v>3</v>
      </c>
      <c r="E5">
        <v>3</v>
      </c>
      <c r="F5">
        <v>3</v>
      </c>
      <c r="G5">
        <v>4</v>
      </c>
      <c r="H5">
        <v>3</v>
      </c>
      <c r="I5">
        <v>3</v>
      </c>
      <c r="J5">
        <v>3</v>
      </c>
      <c r="K5">
        <f>SUM(Table1456[[#This Row],[912]:[112]])</f>
        <v>28</v>
      </c>
      <c r="L5" s="4">
        <f>AVERAGE(Table1456[[#This Row],[912]:[112]])</f>
        <v>3.1111111111111112</v>
      </c>
      <c r="N5" t="s">
        <v>141</v>
      </c>
      <c r="O5">
        <v>4.5</v>
      </c>
      <c r="P5">
        <v>4.5</v>
      </c>
      <c r="Q5">
        <v>4.5</v>
      </c>
      <c r="R5">
        <v>4.5</v>
      </c>
      <c r="S5">
        <v>4.5</v>
      </c>
      <c r="T5">
        <v>9</v>
      </c>
      <c r="U5">
        <v>4.5</v>
      </c>
      <c r="V5">
        <v>4.5</v>
      </c>
      <c r="W5">
        <v>4.5</v>
      </c>
      <c r="X5">
        <f>SUM(Table14561612[[#This Row],[912]:[112]])</f>
        <v>45</v>
      </c>
      <c r="Y5" s="4">
        <f>AVERAGE(Table14561612[[#This Row],[912]:[112]])</f>
        <v>5</v>
      </c>
    </row>
    <row r="6" spans="1:25" x14ac:dyDescent="0.35">
      <c r="A6" t="s">
        <v>140</v>
      </c>
      <c r="B6">
        <v>3</v>
      </c>
      <c r="C6">
        <v>3</v>
      </c>
      <c r="D6">
        <v>3</v>
      </c>
      <c r="E6">
        <v>4</v>
      </c>
      <c r="F6">
        <v>3</v>
      </c>
      <c r="G6">
        <v>3</v>
      </c>
      <c r="H6">
        <v>4</v>
      </c>
      <c r="I6">
        <v>4</v>
      </c>
      <c r="J6">
        <v>3</v>
      </c>
      <c r="K6">
        <f>SUM(Table1456[[#This Row],[912]:[112]])</f>
        <v>30</v>
      </c>
      <c r="L6" s="4">
        <f>AVERAGE(Table1456[[#This Row],[912]:[112]])</f>
        <v>3.3333333333333335</v>
      </c>
      <c r="N6" t="s">
        <v>140</v>
      </c>
      <c r="O6">
        <v>3.5</v>
      </c>
      <c r="P6">
        <v>3.5</v>
      </c>
      <c r="Q6">
        <v>3.5</v>
      </c>
      <c r="R6">
        <v>8</v>
      </c>
      <c r="S6">
        <v>3.5</v>
      </c>
      <c r="T6">
        <v>3.5</v>
      </c>
      <c r="U6">
        <v>8</v>
      </c>
      <c r="V6">
        <v>8</v>
      </c>
      <c r="W6">
        <v>3.5</v>
      </c>
      <c r="X6">
        <f>SUM(Table14561612[[#This Row],[912]:[112]])</f>
        <v>45</v>
      </c>
      <c r="Y6" s="4">
        <f>AVERAGE(Table14561612[[#This Row],[912]:[112]])</f>
        <v>5</v>
      </c>
    </row>
    <row r="7" spans="1:25" x14ac:dyDescent="0.35">
      <c r="A7" t="s">
        <v>139</v>
      </c>
      <c r="B7">
        <v>2</v>
      </c>
      <c r="C7">
        <v>5</v>
      </c>
      <c r="D7">
        <v>3</v>
      </c>
      <c r="E7">
        <v>4</v>
      </c>
      <c r="F7">
        <v>2</v>
      </c>
      <c r="G7">
        <v>4</v>
      </c>
      <c r="H7">
        <v>5</v>
      </c>
      <c r="I7">
        <v>4</v>
      </c>
      <c r="J7">
        <v>5</v>
      </c>
      <c r="K7">
        <f>SUM(Table1456[[#This Row],[912]:[112]])</f>
        <v>34</v>
      </c>
      <c r="L7" s="4">
        <f>AVERAGE(Table1456[[#This Row],[912]:[112]])</f>
        <v>3.7777777777777777</v>
      </c>
      <c r="N7" t="s">
        <v>139</v>
      </c>
      <c r="O7">
        <v>1.5</v>
      </c>
      <c r="P7">
        <v>8</v>
      </c>
      <c r="Q7">
        <v>3</v>
      </c>
      <c r="R7">
        <v>5</v>
      </c>
      <c r="S7">
        <v>1.5</v>
      </c>
      <c r="T7">
        <v>5</v>
      </c>
      <c r="U7">
        <v>8</v>
      </c>
      <c r="V7">
        <v>5</v>
      </c>
      <c r="W7">
        <v>8</v>
      </c>
      <c r="X7">
        <f>SUM(Table14561612[[#This Row],[912]:[112]])</f>
        <v>45</v>
      </c>
      <c r="Y7" s="4">
        <f>AVERAGE(Table14561612[[#This Row],[912]:[112]])</f>
        <v>5</v>
      </c>
    </row>
    <row r="8" spans="1:25" x14ac:dyDescent="0.35">
      <c r="A8" t="s">
        <v>138</v>
      </c>
      <c r="B8">
        <v>3</v>
      </c>
      <c r="C8">
        <v>3</v>
      </c>
      <c r="D8">
        <v>3</v>
      </c>
      <c r="E8">
        <v>3</v>
      </c>
      <c r="F8">
        <v>3</v>
      </c>
      <c r="G8">
        <v>3</v>
      </c>
      <c r="H8">
        <v>3</v>
      </c>
      <c r="I8">
        <v>3</v>
      </c>
      <c r="J8">
        <v>3</v>
      </c>
      <c r="K8">
        <f>SUM(Table1456[[#This Row],[912]:[112]])</f>
        <v>27</v>
      </c>
      <c r="L8" s="4">
        <f>AVERAGE(Table1456[[#This Row],[912]:[112]])</f>
        <v>3</v>
      </c>
      <c r="N8" t="s">
        <v>138</v>
      </c>
      <c r="O8">
        <v>5</v>
      </c>
      <c r="P8">
        <v>5</v>
      </c>
      <c r="Q8">
        <v>5</v>
      </c>
      <c r="R8">
        <v>5</v>
      </c>
      <c r="S8">
        <v>5</v>
      </c>
      <c r="T8">
        <v>5</v>
      </c>
      <c r="U8">
        <v>5</v>
      </c>
      <c r="V8">
        <v>5</v>
      </c>
      <c r="W8">
        <v>5</v>
      </c>
      <c r="X8">
        <f>SUM(Table14561612[[#This Row],[912]:[112]])</f>
        <v>45</v>
      </c>
      <c r="Y8" s="4">
        <f>AVERAGE(Table14561612[[#This Row],[912]:[112]])</f>
        <v>5</v>
      </c>
    </row>
    <row r="9" spans="1:25" x14ac:dyDescent="0.35">
      <c r="A9" t="s">
        <v>137</v>
      </c>
      <c r="B9">
        <v>4</v>
      </c>
      <c r="C9">
        <v>4</v>
      </c>
      <c r="D9">
        <v>4</v>
      </c>
      <c r="E9">
        <v>4</v>
      </c>
      <c r="F9">
        <v>4</v>
      </c>
      <c r="G9">
        <v>4</v>
      </c>
      <c r="H9">
        <v>4</v>
      </c>
      <c r="I9">
        <v>4</v>
      </c>
      <c r="J9">
        <v>4</v>
      </c>
      <c r="K9">
        <f>SUM(Table1456[[#This Row],[912]:[112]])</f>
        <v>36</v>
      </c>
      <c r="L9" s="4">
        <f>AVERAGE(Table1456[[#This Row],[912]:[112]])</f>
        <v>4</v>
      </c>
      <c r="N9" t="s">
        <v>137</v>
      </c>
      <c r="O9">
        <v>5</v>
      </c>
      <c r="P9">
        <v>5</v>
      </c>
      <c r="Q9">
        <v>5</v>
      </c>
      <c r="R9">
        <v>5</v>
      </c>
      <c r="S9">
        <v>5</v>
      </c>
      <c r="T9">
        <v>5</v>
      </c>
      <c r="U9">
        <v>5</v>
      </c>
      <c r="V9">
        <v>5</v>
      </c>
      <c r="W9">
        <v>5</v>
      </c>
      <c r="X9">
        <f>SUM(Table14561612[[#This Row],[912]:[112]])</f>
        <v>45</v>
      </c>
      <c r="Y9" s="4">
        <f>AVERAGE(Table14561612[[#This Row],[912]:[112]])</f>
        <v>5</v>
      </c>
    </row>
    <row r="10" spans="1:25" x14ac:dyDescent="0.35">
      <c r="A10" t="s">
        <v>136</v>
      </c>
      <c r="B10">
        <v>3</v>
      </c>
      <c r="C10">
        <v>3</v>
      </c>
      <c r="D10">
        <v>3</v>
      </c>
      <c r="E10">
        <v>3</v>
      </c>
      <c r="F10">
        <v>3</v>
      </c>
      <c r="G10">
        <v>3</v>
      </c>
      <c r="H10">
        <v>3</v>
      </c>
      <c r="I10">
        <v>3</v>
      </c>
      <c r="J10">
        <v>3</v>
      </c>
      <c r="K10">
        <f>SUM(Table1456[[#This Row],[912]:[112]])</f>
        <v>27</v>
      </c>
      <c r="L10" s="4">
        <f>AVERAGE(Table1456[[#This Row],[912]:[112]])</f>
        <v>3</v>
      </c>
      <c r="N10" t="s">
        <v>136</v>
      </c>
      <c r="O10">
        <v>5</v>
      </c>
      <c r="P10">
        <v>5</v>
      </c>
      <c r="Q10">
        <v>5</v>
      </c>
      <c r="R10">
        <v>5</v>
      </c>
      <c r="S10">
        <v>5</v>
      </c>
      <c r="T10">
        <v>5</v>
      </c>
      <c r="U10">
        <v>5</v>
      </c>
      <c r="V10">
        <v>5</v>
      </c>
      <c r="W10">
        <v>5</v>
      </c>
      <c r="X10">
        <f>SUM(Table14561612[[#This Row],[912]:[112]])</f>
        <v>45</v>
      </c>
      <c r="Y10" s="4">
        <f>AVERAGE(Table14561612[[#This Row],[912]:[112]])</f>
        <v>5</v>
      </c>
    </row>
    <row r="11" spans="1:25" x14ac:dyDescent="0.35">
      <c r="A11" t="s">
        <v>135</v>
      </c>
      <c r="B11">
        <v>2</v>
      </c>
      <c r="C11">
        <v>2</v>
      </c>
      <c r="D11">
        <v>2</v>
      </c>
      <c r="E11">
        <v>2</v>
      </c>
      <c r="F11">
        <v>2</v>
      </c>
      <c r="G11">
        <v>2</v>
      </c>
      <c r="H11">
        <v>2</v>
      </c>
      <c r="I11">
        <v>2</v>
      </c>
      <c r="J11">
        <v>2</v>
      </c>
      <c r="K11">
        <f>SUM(Table1456[[#This Row],[912]:[112]])</f>
        <v>18</v>
      </c>
      <c r="L11" s="4">
        <f>AVERAGE(Table1456[[#This Row],[912]:[112]])</f>
        <v>2</v>
      </c>
      <c r="N11" t="s">
        <v>135</v>
      </c>
      <c r="O11">
        <v>5</v>
      </c>
      <c r="P11">
        <v>5</v>
      </c>
      <c r="Q11">
        <v>5</v>
      </c>
      <c r="R11">
        <v>5</v>
      </c>
      <c r="S11">
        <v>5</v>
      </c>
      <c r="T11">
        <v>5</v>
      </c>
      <c r="U11">
        <v>5</v>
      </c>
      <c r="V11">
        <v>5</v>
      </c>
      <c r="W11">
        <v>5</v>
      </c>
      <c r="X11">
        <f>SUM(Table14561612[[#This Row],[912]:[112]])</f>
        <v>45</v>
      </c>
      <c r="Y11" s="4">
        <f>AVERAGE(Table14561612[[#This Row],[912]:[112]])</f>
        <v>5</v>
      </c>
    </row>
    <row r="12" spans="1:25" x14ac:dyDescent="0.35">
      <c r="A12" t="s">
        <v>134</v>
      </c>
      <c r="B12">
        <v>3</v>
      </c>
      <c r="C12">
        <v>4</v>
      </c>
      <c r="D12">
        <v>5</v>
      </c>
      <c r="E12">
        <v>3</v>
      </c>
      <c r="F12">
        <v>4</v>
      </c>
      <c r="G12">
        <v>5</v>
      </c>
      <c r="H12">
        <v>4</v>
      </c>
      <c r="I12">
        <v>5</v>
      </c>
      <c r="J12">
        <v>5</v>
      </c>
      <c r="K12">
        <f>SUM(Table1456[[#This Row],[912]:[112]])</f>
        <v>38</v>
      </c>
      <c r="L12" s="4">
        <f>AVERAGE(Table1456[[#This Row],[912]:[112]])</f>
        <v>4.2222222222222223</v>
      </c>
      <c r="N12" t="s">
        <v>134</v>
      </c>
      <c r="O12">
        <v>1.5</v>
      </c>
      <c r="P12">
        <v>4</v>
      </c>
      <c r="Q12">
        <v>7.5</v>
      </c>
      <c r="R12">
        <v>1.5</v>
      </c>
      <c r="S12">
        <v>4</v>
      </c>
      <c r="T12">
        <v>7.5</v>
      </c>
      <c r="U12">
        <v>4</v>
      </c>
      <c r="V12">
        <v>7.5</v>
      </c>
      <c r="W12">
        <v>7.5</v>
      </c>
      <c r="X12">
        <f>SUM(Table14561612[[#This Row],[912]:[112]])</f>
        <v>45</v>
      </c>
      <c r="Y12" s="4">
        <f>AVERAGE(Table14561612[[#This Row],[912]:[112]])</f>
        <v>5</v>
      </c>
    </row>
    <row r="13" spans="1:25" x14ac:dyDescent="0.35">
      <c r="A13" t="s">
        <v>133</v>
      </c>
      <c r="B13">
        <v>4</v>
      </c>
      <c r="C13">
        <v>3</v>
      </c>
      <c r="D13">
        <v>4</v>
      </c>
      <c r="E13">
        <v>5</v>
      </c>
      <c r="F13">
        <v>5</v>
      </c>
      <c r="G13">
        <v>5</v>
      </c>
      <c r="H13">
        <v>4</v>
      </c>
      <c r="I13">
        <v>3</v>
      </c>
      <c r="J13">
        <v>5</v>
      </c>
      <c r="K13">
        <f>SUM(Table1456[[#This Row],[912]:[112]])</f>
        <v>38</v>
      </c>
      <c r="L13" s="4">
        <f>AVERAGE(Table1456[[#This Row],[912]:[112]])</f>
        <v>4.2222222222222223</v>
      </c>
      <c r="N13" t="s">
        <v>133</v>
      </c>
      <c r="O13">
        <v>4</v>
      </c>
      <c r="P13">
        <v>1.5</v>
      </c>
      <c r="Q13">
        <v>4</v>
      </c>
      <c r="R13">
        <v>7.5</v>
      </c>
      <c r="S13">
        <v>7.5</v>
      </c>
      <c r="T13">
        <v>7.5</v>
      </c>
      <c r="U13">
        <v>4</v>
      </c>
      <c r="V13">
        <v>1.5</v>
      </c>
      <c r="W13">
        <v>7.5</v>
      </c>
      <c r="X13">
        <f>SUM(Table14561612[[#This Row],[912]:[112]])</f>
        <v>45</v>
      </c>
      <c r="Y13" s="4">
        <f>AVERAGE(Table14561612[[#This Row],[912]:[112]])</f>
        <v>5</v>
      </c>
    </row>
    <row r="14" spans="1:25" x14ac:dyDescent="0.35">
      <c r="A14" t="s">
        <v>132</v>
      </c>
      <c r="B14">
        <v>4</v>
      </c>
      <c r="C14">
        <v>4</v>
      </c>
      <c r="D14">
        <v>3</v>
      </c>
      <c r="E14">
        <v>4</v>
      </c>
      <c r="F14">
        <v>4</v>
      </c>
      <c r="G14">
        <v>3</v>
      </c>
      <c r="H14">
        <v>3</v>
      </c>
      <c r="I14">
        <v>4</v>
      </c>
      <c r="J14">
        <v>3</v>
      </c>
      <c r="K14">
        <f>SUM(Table1456[[#This Row],[912]:[112]])</f>
        <v>32</v>
      </c>
      <c r="L14" s="4">
        <f>AVERAGE(Table1456[[#This Row],[912]:[112]])</f>
        <v>3.5555555555555554</v>
      </c>
      <c r="N14" t="s">
        <v>132</v>
      </c>
      <c r="O14">
        <v>7</v>
      </c>
      <c r="P14">
        <v>7</v>
      </c>
      <c r="Q14">
        <v>2.5</v>
      </c>
      <c r="R14">
        <v>7</v>
      </c>
      <c r="S14">
        <v>7</v>
      </c>
      <c r="T14">
        <v>2.5</v>
      </c>
      <c r="U14">
        <v>2.5</v>
      </c>
      <c r="V14">
        <v>7</v>
      </c>
      <c r="W14">
        <v>2.5</v>
      </c>
      <c r="X14">
        <f>SUM(Table14561612[[#This Row],[912]:[112]])</f>
        <v>45</v>
      </c>
      <c r="Y14" s="4">
        <f>AVERAGE(Table14561612[[#This Row],[912]:[112]])</f>
        <v>5</v>
      </c>
    </row>
    <row r="15" spans="1:25" x14ac:dyDescent="0.35">
      <c r="A15" t="s">
        <v>131</v>
      </c>
      <c r="B15">
        <v>4</v>
      </c>
      <c r="C15">
        <v>3</v>
      </c>
      <c r="D15">
        <v>3</v>
      </c>
      <c r="E15">
        <v>3</v>
      </c>
      <c r="F15">
        <v>3</v>
      </c>
      <c r="G15">
        <v>3</v>
      </c>
      <c r="H15">
        <v>3</v>
      </c>
      <c r="I15">
        <v>3</v>
      </c>
      <c r="J15">
        <v>2</v>
      </c>
      <c r="K15">
        <f>SUM(Table1456[[#This Row],[912]:[112]])</f>
        <v>27</v>
      </c>
      <c r="L15" s="4">
        <f>AVERAGE(Table1456[[#This Row],[912]:[112]])</f>
        <v>3</v>
      </c>
      <c r="N15" t="s">
        <v>131</v>
      </c>
      <c r="O15">
        <v>9</v>
      </c>
      <c r="P15">
        <v>5</v>
      </c>
      <c r="Q15">
        <v>5</v>
      </c>
      <c r="R15">
        <v>5</v>
      </c>
      <c r="S15">
        <v>5</v>
      </c>
      <c r="T15">
        <v>5</v>
      </c>
      <c r="U15">
        <v>5</v>
      </c>
      <c r="V15">
        <v>5</v>
      </c>
      <c r="W15">
        <v>1</v>
      </c>
      <c r="X15">
        <f>SUM(Table14561612[[#This Row],[912]:[112]])</f>
        <v>45</v>
      </c>
      <c r="Y15" s="4">
        <f>AVERAGE(Table14561612[[#This Row],[912]:[112]])</f>
        <v>5</v>
      </c>
    </row>
    <row r="16" spans="1:25" x14ac:dyDescent="0.35">
      <c r="A16" t="s">
        <v>130</v>
      </c>
      <c r="B16">
        <v>5</v>
      </c>
      <c r="C16">
        <v>5</v>
      </c>
      <c r="D16">
        <v>5</v>
      </c>
      <c r="E16">
        <v>5</v>
      </c>
      <c r="F16">
        <v>5</v>
      </c>
      <c r="G16">
        <v>5</v>
      </c>
      <c r="H16">
        <v>5</v>
      </c>
      <c r="I16">
        <v>5</v>
      </c>
      <c r="J16">
        <v>5</v>
      </c>
      <c r="K16">
        <f>SUM(Table1456[[#This Row],[912]:[112]])</f>
        <v>45</v>
      </c>
      <c r="L16" s="4">
        <f>AVERAGE(Table1456[[#This Row],[912]:[112]])</f>
        <v>5</v>
      </c>
      <c r="N16" t="s">
        <v>130</v>
      </c>
      <c r="O16">
        <v>5</v>
      </c>
      <c r="P16">
        <v>5</v>
      </c>
      <c r="Q16">
        <v>5</v>
      </c>
      <c r="R16">
        <v>5</v>
      </c>
      <c r="S16">
        <v>5</v>
      </c>
      <c r="T16">
        <v>5</v>
      </c>
      <c r="U16">
        <v>5</v>
      </c>
      <c r="V16">
        <v>5</v>
      </c>
      <c r="W16">
        <v>5</v>
      </c>
      <c r="X16">
        <f>SUM(Table14561612[[#This Row],[912]:[112]])</f>
        <v>45</v>
      </c>
      <c r="Y16" s="4">
        <f>AVERAGE(Table14561612[[#This Row],[912]:[112]])</f>
        <v>5</v>
      </c>
    </row>
    <row r="17" spans="1:25" x14ac:dyDescent="0.35">
      <c r="A17" t="s">
        <v>129</v>
      </c>
      <c r="B17">
        <v>4</v>
      </c>
      <c r="C17">
        <v>3</v>
      </c>
      <c r="D17">
        <v>4</v>
      </c>
      <c r="E17">
        <v>4</v>
      </c>
      <c r="F17">
        <v>1</v>
      </c>
      <c r="G17">
        <v>3</v>
      </c>
      <c r="H17">
        <v>5</v>
      </c>
      <c r="I17">
        <v>3</v>
      </c>
      <c r="J17">
        <v>3</v>
      </c>
      <c r="K17">
        <f>SUM(Table1456[[#This Row],[912]:[112]])</f>
        <v>30</v>
      </c>
      <c r="L17" s="4">
        <f>AVERAGE(Table1456[[#This Row],[912]:[112]])</f>
        <v>3.3333333333333335</v>
      </c>
      <c r="N17" t="s">
        <v>129</v>
      </c>
      <c r="O17">
        <v>7</v>
      </c>
      <c r="P17">
        <v>3.5</v>
      </c>
      <c r="Q17">
        <v>7</v>
      </c>
      <c r="R17">
        <v>7</v>
      </c>
      <c r="S17">
        <v>1</v>
      </c>
      <c r="T17">
        <v>3.5</v>
      </c>
      <c r="U17">
        <v>9</v>
      </c>
      <c r="V17">
        <v>3.5</v>
      </c>
      <c r="W17">
        <v>3.5</v>
      </c>
      <c r="X17">
        <f>SUM(Table14561612[[#This Row],[912]:[112]])</f>
        <v>45</v>
      </c>
      <c r="Y17" s="4">
        <f>AVERAGE(Table14561612[[#This Row],[912]:[112]])</f>
        <v>5</v>
      </c>
    </row>
    <row r="18" spans="1:25" x14ac:dyDescent="0.35">
      <c r="A18" t="s">
        <v>128</v>
      </c>
      <c r="B18">
        <v>4</v>
      </c>
      <c r="C18">
        <v>4</v>
      </c>
      <c r="D18">
        <v>5</v>
      </c>
      <c r="E18">
        <v>4</v>
      </c>
      <c r="F18">
        <v>5</v>
      </c>
      <c r="G18">
        <v>5</v>
      </c>
      <c r="H18">
        <v>5</v>
      </c>
      <c r="I18">
        <v>5</v>
      </c>
      <c r="J18">
        <v>5</v>
      </c>
      <c r="K18">
        <f>SUM(Table1456[[#This Row],[912]:[112]])</f>
        <v>42</v>
      </c>
      <c r="L18" s="4">
        <f>AVERAGE(Table1456[[#This Row],[912]:[112]])</f>
        <v>4.666666666666667</v>
      </c>
      <c r="N18" t="s">
        <v>128</v>
      </c>
      <c r="O18">
        <v>2</v>
      </c>
      <c r="P18">
        <v>2</v>
      </c>
      <c r="Q18">
        <v>6.5</v>
      </c>
      <c r="R18">
        <v>2</v>
      </c>
      <c r="S18">
        <v>6.5</v>
      </c>
      <c r="T18">
        <v>6.5</v>
      </c>
      <c r="U18">
        <v>6.5</v>
      </c>
      <c r="V18">
        <v>6.5</v>
      </c>
      <c r="W18">
        <v>6.5</v>
      </c>
      <c r="X18">
        <f>SUM(Table14561612[[#This Row],[912]:[112]])</f>
        <v>45</v>
      </c>
      <c r="Y18" s="4">
        <f>AVERAGE(Table14561612[[#This Row],[912]:[112]])</f>
        <v>5</v>
      </c>
    </row>
    <row r="19" spans="1:25" x14ac:dyDescent="0.35">
      <c r="A19" t="s">
        <v>127</v>
      </c>
      <c r="B19">
        <v>4</v>
      </c>
      <c r="C19">
        <v>4</v>
      </c>
      <c r="D19">
        <v>3</v>
      </c>
      <c r="E19">
        <v>3</v>
      </c>
      <c r="F19">
        <v>4</v>
      </c>
      <c r="G19">
        <v>3</v>
      </c>
      <c r="H19">
        <v>4</v>
      </c>
      <c r="I19">
        <v>3</v>
      </c>
      <c r="J19">
        <v>4</v>
      </c>
      <c r="K19">
        <f>SUM(Table1456[[#This Row],[912]:[112]])</f>
        <v>32</v>
      </c>
      <c r="L19" s="4">
        <f>AVERAGE(Table1456[[#This Row],[912]:[112]])</f>
        <v>3.5555555555555554</v>
      </c>
      <c r="N19" t="s">
        <v>127</v>
      </c>
      <c r="O19">
        <v>7</v>
      </c>
      <c r="P19">
        <v>7</v>
      </c>
      <c r="Q19">
        <v>2.5</v>
      </c>
      <c r="R19">
        <v>2.5</v>
      </c>
      <c r="S19">
        <v>7</v>
      </c>
      <c r="T19">
        <v>2.5</v>
      </c>
      <c r="U19">
        <v>7</v>
      </c>
      <c r="V19">
        <v>2.5</v>
      </c>
      <c r="W19">
        <v>7</v>
      </c>
      <c r="X19">
        <f>SUM(Table14561612[[#This Row],[912]:[112]])</f>
        <v>45</v>
      </c>
      <c r="Y19" s="4">
        <f>AVERAGE(Table14561612[[#This Row],[912]:[112]])</f>
        <v>5</v>
      </c>
    </row>
    <row r="20" spans="1:25" x14ac:dyDescent="0.35">
      <c r="A20" t="s">
        <v>126</v>
      </c>
      <c r="B20">
        <v>4</v>
      </c>
      <c r="C20">
        <v>4</v>
      </c>
      <c r="D20">
        <v>4</v>
      </c>
      <c r="E20">
        <v>3</v>
      </c>
      <c r="F20">
        <v>3</v>
      </c>
      <c r="G20">
        <v>3</v>
      </c>
      <c r="H20">
        <v>3</v>
      </c>
      <c r="I20">
        <v>3</v>
      </c>
      <c r="J20">
        <v>3</v>
      </c>
      <c r="K20">
        <f>SUM(Table1456[[#This Row],[912]:[112]])</f>
        <v>30</v>
      </c>
      <c r="L20" s="4">
        <f>AVERAGE(Table1456[[#This Row],[912]:[112]])</f>
        <v>3.3333333333333335</v>
      </c>
      <c r="N20" t="s">
        <v>126</v>
      </c>
      <c r="O20">
        <v>8</v>
      </c>
      <c r="P20">
        <v>8</v>
      </c>
      <c r="Q20">
        <v>8</v>
      </c>
      <c r="R20">
        <v>3.5</v>
      </c>
      <c r="S20">
        <v>3.5</v>
      </c>
      <c r="T20">
        <v>3.5</v>
      </c>
      <c r="U20">
        <v>3.5</v>
      </c>
      <c r="V20">
        <v>3.5</v>
      </c>
      <c r="W20">
        <v>3.5</v>
      </c>
      <c r="X20">
        <f>SUM(Table14561612[[#This Row],[912]:[112]])</f>
        <v>45</v>
      </c>
      <c r="Y20" s="4">
        <f>AVERAGE(Table14561612[[#This Row],[912]:[112]])</f>
        <v>5</v>
      </c>
    </row>
    <row r="21" spans="1:25" x14ac:dyDescent="0.35">
      <c r="A21" t="s">
        <v>125</v>
      </c>
      <c r="B21">
        <v>5</v>
      </c>
      <c r="C21">
        <v>4</v>
      </c>
      <c r="D21">
        <v>5</v>
      </c>
      <c r="E21">
        <v>4</v>
      </c>
      <c r="F21">
        <v>5</v>
      </c>
      <c r="G21">
        <v>5</v>
      </c>
      <c r="H21">
        <v>4</v>
      </c>
      <c r="I21">
        <v>4</v>
      </c>
      <c r="J21">
        <v>3</v>
      </c>
      <c r="K21">
        <f>SUM(Table1456[[#This Row],[912]:[112]])</f>
        <v>39</v>
      </c>
      <c r="L21" s="4">
        <f>AVERAGE(Table1456[[#This Row],[912]:[112]])</f>
        <v>4.333333333333333</v>
      </c>
      <c r="N21" t="s">
        <v>125</v>
      </c>
      <c r="O21">
        <v>7.5</v>
      </c>
      <c r="P21">
        <v>3.5</v>
      </c>
      <c r="Q21">
        <v>7.5</v>
      </c>
      <c r="R21">
        <v>3.5</v>
      </c>
      <c r="S21">
        <v>7.5</v>
      </c>
      <c r="T21">
        <v>7.5</v>
      </c>
      <c r="U21">
        <v>3.5</v>
      </c>
      <c r="V21">
        <v>3.5</v>
      </c>
      <c r="W21">
        <v>1</v>
      </c>
      <c r="X21">
        <f>SUM(Table14561612[[#This Row],[912]:[112]])</f>
        <v>45</v>
      </c>
      <c r="Y21" s="4">
        <f>AVERAGE(Table14561612[[#This Row],[912]:[112]])</f>
        <v>5</v>
      </c>
    </row>
    <row r="22" spans="1:25" x14ac:dyDescent="0.35">
      <c r="A22" t="s">
        <v>124</v>
      </c>
      <c r="B22">
        <v>2</v>
      </c>
      <c r="C22">
        <v>4</v>
      </c>
      <c r="D22">
        <v>4</v>
      </c>
      <c r="E22">
        <v>4</v>
      </c>
      <c r="F22">
        <v>3</v>
      </c>
      <c r="G22">
        <v>3</v>
      </c>
      <c r="H22">
        <v>4</v>
      </c>
      <c r="I22">
        <v>4</v>
      </c>
      <c r="J22">
        <v>4</v>
      </c>
      <c r="K22">
        <f>SUM(Table1456[[#This Row],[912]:[112]])</f>
        <v>32</v>
      </c>
      <c r="L22" s="4">
        <f>AVERAGE(Table1456[[#This Row],[912]:[112]])</f>
        <v>3.5555555555555554</v>
      </c>
      <c r="N22" t="s">
        <v>124</v>
      </c>
      <c r="O22">
        <v>3</v>
      </c>
      <c r="P22">
        <v>6.5</v>
      </c>
      <c r="Q22">
        <v>6.5</v>
      </c>
      <c r="R22">
        <v>6.5</v>
      </c>
      <c r="S22">
        <v>1.5</v>
      </c>
      <c r="T22">
        <v>1.5</v>
      </c>
      <c r="U22">
        <v>6.5</v>
      </c>
      <c r="V22">
        <v>6.5</v>
      </c>
      <c r="W22">
        <v>6.5</v>
      </c>
      <c r="X22">
        <f>SUM(Table14561612[[#This Row],[912]:[112]])</f>
        <v>45</v>
      </c>
      <c r="Y22" s="4">
        <f>AVERAGE(Table14561612[[#This Row],[912]:[112]])</f>
        <v>5</v>
      </c>
    </row>
    <row r="23" spans="1:25" x14ac:dyDescent="0.35">
      <c r="A23" t="s">
        <v>123</v>
      </c>
      <c r="B23">
        <v>3</v>
      </c>
      <c r="C23">
        <v>2</v>
      </c>
      <c r="D23">
        <v>3</v>
      </c>
      <c r="E23">
        <v>3</v>
      </c>
      <c r="F23">
        <v>3</v>
      </c>
      <c r="G23">
        <v>2</v>
      </c>
      <c r="H23">
        <v>3</v>
      </c>
      <c r="I23">
        <v>4</v>
      </c>
      <c r="J23">
        <v>4</v>
      </c>
      <c r="K23">
        <f>SUM(Table1456[[#This Row],[912]:[112]])</f>
        <v>27</v>
      </c>
      <c r="L23" s="4">
        <f>AVERAGE(Table1456[[#This Row],[912]:[112]])</f>
        <v>3</v>
      </c>
      <c r="N23" t="s">
        <v>123</v>
      </c>
      <c r="O23">
        <v>5</v>
      </c>
      <c r="P23">
        <v>1.5</v>
      </c>
      <c r="Q23">
        <v>5</v>
      </c>
      <c r="R23">
        <v>5</v>
      </c>
      <c r="S23">
        <v>5</v>
      </c>
      <c r="T23">
        <v>1.5</v>
      </c>
      <c r="U23">
        <v>5</v>
      </c>
      <c r="V23">
        <v>8.5</v>
      </c>
      <c r="W23">
        <v>8.5</v>
      </c>
      <c r="X23">
        <f>SUM(Table14561612[[#This Row],[912]:[112]])</f>
        <v>45</v>
      </c>
      <c r="Y23" s="4">
        <f>AVERAGE(Table14561612[[#This Row],[912]:[112]])</f>
        <v>5</v>
      </c>
    </row>
    <row r="24" spans="1:25" x14ac:dyDescent="0.35">
      <c r="A24" t="s">
        <v>122</v>
      </c>
      <c r="B24">
        <v>3</v>
      </c>
      <c r="C24">
        <v>4</v>
      </c>
      <c r="D24">
        <v>4</v>
      </c>
      <c r="E24">
        <v>5</v>
      </c>
      <c r="F24">
        <v>3</v>
      </c>
      <c r="G24">
        <v>5</v>
      </c>
      <c r="H24">
        <v>4</v>
      </c>
      <c r="I24">
        <v>3</v>
      </c>
      <c r="J24">
        <v>4</v>
      </c>
      <c r="K24">
        <f>SUM(Table1456[[#This Row],[912]:[112]])</f>
        <v>35</v>
      </c>
      <c r="L24" s="4">
        <f>AVERAGE(Table1456[[#This Row],[912]:[112]])</f>
        <v>3.8888888888888888</v>
      </c>
      <c r="N24" t="s">
        <v>122</v>
      </c>
      <c r="O24">
        <v>2</v>
      </c>
      <c r="P24">
        <v>5.5</v>
      </c>
      <c r="Q24">
        <v>5.5</v>
      </c>
      <c r="R24">
        <v>8.5</v>
      </c>
      <c r="S24">
        <v>2</v>
      </c>
      <c r="T24">
        <v>8.5</v>
      </c>
      <c r="U24">
        <v>5.5</v>
      </c>
      <c r="V24">
        <v>2</v>
      </c>
      <c r="W24">
        <v>5.5</v>
      </c>
      <c r="X24">
        <f>SUM(Table14561612[[#This Row],[912]:[112]])</f>
        <v>45</v>
      </c>
      <c r="Y24" s="4">
        <f>AVERAGE(Table14561612[[#This Row],[912]:[112]])</f>
        <v>5</v>
      </c>
    </row>
    <row r="25" spans="1:25" x14ac:dyDescent="0.35">
      <c r="A25" t="s">
        <v>121</v>
      </c>
      <c r="B25">
        <v>5</v>
      </c>
      <c r="C25">
        <v>3</v>
      </c>
      <c r="D25">
        <v>4</v>
      </c>
      <c r="E25">
        <v>5</v>
      </c>
      <c r="F25">
        <v>3</v>
      </c>
      <c r="G25">
        <v>2</v>
      </c>
      <c r="H25">
        <v>4</v>
      </c>
      <c r="I25">
        <v>5</v>
      </c>
      <c r="J25">
        <v>4</v>
      </c>
      <c r="K25">
        <f>SUM(Table1456[[#This Row],[912]:[112]])</f>
        <v>35</v>
      </c>
      <c r="L25" s="4">
        <f>AVERAGE(Table1456[[#This Row],[912]:[112]])</f>
        <v>3.8888888888888888</v>
      </c>
      <c r="N25" t="s">
        <v>121</v>
      </c>
      <c r="O25">
        <v>8</v>
      </c>
      <c r="P25">
        <v>2.5</v>
      </c>
      <c r="Q25">
        <v>5</v>
      </c>
      <c r="R25">
        <v>8</v>
      </c>
      <c r="S25">
        <v>2.5</v>
      </c>
      <c r="T25">
        <v>1</v>
      </c>
      <c r="U25">
        <v>5</v>
      </c>
      <c r="V25">
        <v>8</v>
      </c>
      <c r="W25">
        <v>5</v>
      </c>
      <c r="X25">
        <f>SUM(Table14561612[[#This Row],[912]:[112]])</f>
        <v>45</v>
      </c>
      <c r="Y25" s="4">
        <f>AVERAGE(Table14561612[[#This Row],[912]:[112]])</f>
        <v>5</v>
      </c>
    </row>
    <row r="26" spans="1:25" x14ac:dyDescent="0.35">
      <c r="A26" t="s">
        <v>120</v>
      </c>
      <c r="B26">
        <v>3</v>
      </c>
      <c r="C26">
        <v>4</v>
      </c>
      <c r="D26">
        <v>4</v>
      </c>
      <c r="E26">
        <v>4</v>
      </c>
      <c r="F26">
        <v>5</v>
      </c>
      <c r="G26">
        <v>3</v>
      </c>
      <c r="H26">
        <v>5</v>
      </c>
      <c r="I26">
        <v>4</v>
      </c>
      <c r="J26">
        <v>4</v>
      </c>
      <c r="K26">
        <f>SUM(Table1456[[#This Row],[912]:[112]])</f>
        <v>36</v>
      </c>
      <c r="L26" s="4">
        <f>AVERAGE(Table1456[[#This Row],[912]:[112]])</f>
        <v>4</v>
      </c>
      <c r="N26" t="s">
        <v>120</v>
      </c>
      <c r="O26">
        <v>1.5</v>
      </c>
      <c r="P26">
        <v>5</v>
      </c>
      <c r="Q26">
        <v>5</v>
      </c>
      <c r="R26">
        <v>5</v>
      </c>
      <c r="S26">
        <v>8.5</v>
      </c>
      <c r="T26">
        <v>1.5</v>
      </c>
      <c r="U26">
        <v>8.5</v>
      </c>
      <c r="V26">
        <v>5</v>
      </c>
      <c r="W26">
        <v>5</v>
      </c>
      <c r="X26">
        <f>SUM(Table14561612[[#This Row],[912]:[112]])</f>
        <v>45</v>
      </c>
      <c r="Y26" s="4">
        <f>AVERAGE(Table14561612[[#This Row],[912]:[112]])</f>
        <v>5</v>
      </c>
    </row>
    <row r="27" spans="1:25" x14ac:dyDescent="0.35">
      <c r="A27" t="s">
        <v>119</v>
      </c>
      <c r="B27">
        <v>5</v>
      </c>
      <c r="C27">
        <v>4</v>
      </c>
      <c r="D27">
        <v>2</v>
      </c>
      <c r="E27">
        <v>2</v>
      </c>
      <c r="F27">
        <v>5</v>
      </c>
      <c r="G27">
        <v>4</v>
      </c>
      <c r="H27">
        <v>4</v>
      </c>
      <c r="I27">
        <v>5</v>
      </c>
      <c r="J27">
        <v>5</v>
      </c>
      <c r="K27">
        <f>SUM(Table1456[[#This Row],[912]:[112]])</f>
        <v>36</v>
      </c>
      <c r="L27" s="4">
        <f>AVERAGE(Table1456[[#This Row],[912]:[112]])</f>
        <v>4</v>
      </c>
      <c r="N27" t="s">
        <v>119</v>
      </c>
      <c r="O27">
        <v>7.5</v>
      </c>
      <c r="P27">
        <v>4</v>
      </c>
      <c r="Q27">
        <v>1.5</v>
      </c>
      <c r="R27">
        <v>1.5</v>
      </c>
      <c r="S27">
        <v>7.5</v>
      </c>
      <c r="T27">
        <v>4</v>
      </c>
      <c r="U27">
        <v>4</v>
      </c>
      <c r="V27">
        <v>7.5</v>
      </c>
      <c r="W27">
        <v>7.5</v>
      </c>
      <c r="X27">
        <f>SUM(Table14561612[[#This Row],[912]:[112]])</f>
        <v>45</v>
      </c>
      <c r="Y27" s="4">
        <f>AVERAGE(Table14561612[[#This Row],[912]:[112]])</f>
        <v>5</v>
      </c>
    </row>
    <row r="28" spans="1:25" x14ac:dyDescent="0.35">
      <c r="A28" t="s">
        <v>118</v>
      </c>
      <c r="B28">
        <v>5</v>
      </c>
      <c r="C28">
        <v>5</v>
      </c>
      <c r="D28">
        <v>5</v>
      </c>
      <c r="E28">
        <v>5</v>
      </c>
      <c r="F28">
        <v>5</v>
      </c>
      <c r="G28">
        <v>4</v>
      </c>
      <c r="H28">
        <v>4</v>
      </c>
      <c r="I28">
        <v>3</v>
      </c>
      <c r="J28">
        <v>4</v>
      </c>
      <c r="K28">
        <f>SUM(Table1456[[#This Row],[912]:[112]])</f>
        <v>40</v>
      </c>
      <c r="L28" s="4">
        <f>AVERAGE(Table1456[[#This Row],[912]:[112]])</f>
        <v>4.4444444444444446</v>
      </c>
      <c r="N28" t="s">
        <v>118</v>
      </c>
      <c r="O28">
        <v>7</v>
      </c>
      <c r="P28">
        <v>7</v>
      </c>
      <c r="Q28">
        <v>7</v>
      </c>
      <c r="R28">
        <v>7</v>
      </c>
      <c r="S28">
        <v>7</v>
      </c>
      <c r="T28">
        <v>3</v>
      </c>
      <c r="U28">
        <v>3</v>
      </c>
      <c r="V28">
        <v>1</v>
      </c>
      <c r="W28">
        <v>3</v>
      </c>
      <c r="X28">
        <f>SUM(Table14561612[[#This Row],[912]:[112]])</f>
        <v>45</v>
      </c>
      <c r="Y28" s="4">
        <f>AVERAGE(Table14561612[[#This Row],[912]:[112]])</f>
        <v>5</v>
      </c>
    </row>
    <row r="29" spans="1:25" x14ac:dyDescent="0.35">
      <c r="A29" t="s">
        <v>117</v>
      </c>
      <c r="B29">
        <v>5</v>
      </c>
      <c r="C29">
        <v>4</v>
      </c>
      <c r="D29">
        <v>4</v>
      </c>
      <c r="E29">
        <v>3</v>
      </c>
      <c r="F29">
        <v>2</v>
      </c>
      <c r="G29">
        <v>5</v>
      </c>
      <c r="H29">
        <v>5</v>
      </c>
      <c r="I29">
        <v>5</v>
      </c>
      <c r="J29">
        <v>5</v>
      </c>
      <c r="K29">
        <f>SUM(Table1456[[#This Row],[912]:[112]])</f>
        <v>38</v>
      </c>
      <c r="L29" s="4">
        <f>AVERAGE(Table1456[[#This Row],[912]:[112]])</f>
        <v>4.2222222222222223</v>
      </c>
      <c r="N29" t="s">
        <v>117</v>
      </c>
      <c r="O29">
        <v>7</v>
      </c>
      <c r="P29">
        <v>3.5</v>
      </c>
      <c r="Q29">
        <v>3.5</v>
      </c>
      <c r="R29">
        <v>2</v>
      </c>
      <c r="S29">
        <v>1</v>
      </c>
      <c r="T29">
        <v>7</v>
      </c>
      <c r="U29">
        <v>7</v>
      </c>
      <c r="V29">
        <v>7</v>
      </c>
      <c r="W29">
        <v>7</v>
      </c>
      <c r="X29">
        <f>SUM(Table14561612[[#This Row],[912]:[112]])</f>
        <v>45</v>
      </c>
      <c r="Y29" s="4">
        <f>AVERAGE(Table14561612[[#This Row],[912]:[112]])</f>
        <v>5</v>
      </c>
    </row>
    <row r="30" spans="1:25" x14ac:dyDescent="0.35">
      <c r="A30" t="s">
        <v>116</v>
      </c>
      <c r="B30">
        <v>4</v>
      </c>
      <c r="C30">
        <v>4</v>
      </c>
      <c r="D30">
        <v>4</v>
      </c>
      <c r="E30">
        <v>4</v>
      </c>
      <c r="F30">
        <v>3</v>
      </c>
      <c r="G30">
        <v>5</v>
      </c>
      <c r="H30">
        <v>3</v>
      </c>
      <c r="I30">
        <v>2</v>
      </c>
      <c r="J30">
        <v>5</v>
      </c>
      <c r="K30">
        <f>SUM(Table1456[[#This Row],[912]:[112]])</f>
        <v>34</v>
      </c>
      <c r="L30" s="4">
        <f>AVERAGE(Table1456[[#This Row],[912]:[112]])</f>
        <v>3.7777777777777777</v>
      </c>
      <c r="N30" t="s">
        <v>116</v>
      </c>
      <c r="O30">
        <v>5.5</v>
      </c>
      <c r="P30">
        <v>5.5</v>
      </c>
      <c r="Q30">
        <v>5.5</v>
      </c>
      <c r="R30">
        <v>5.5</v>
      </c>
      <c r="S30">
        <v>2.5</v>
      </c>
      <c r="T30">
        <v>8.5</v>
      </c>
      <c r="U30">
        <v>2.5</v>
      </c>
      <c r="V30">
        <v>1</v>
      </c>
      <c r="W30">
        <v>8.5</v>
      </c>
      <c r="X30">
        <f>SUM(Table14561612[[#This Row],[912]:[112]])</f>
        <v>45</v>
      </c>
      <c r="Y30" s="4">
        <f>AVERAGE(Table14561612[[#This Row],[912]:[112]])</f>
        <v>5</v>
      </c>
    </row>
    <row r="31" spans="1:25" x14ac:dyDescent="0.35">
      <c r="A31" t="s">
        <v>115</v>
      </c>
      <c r="B31">
        <v>5</v>
      </c>
      <c r="C31">
        <v>5</v>
      </c>
      <c r="D31">
        <v>5</v>
      </c>
      <c r="E31">
        <v>5</v>
      </c>
      <c r="F31">
        <v>3</v>
      </c>
      <c r="G31">
        <v>5</v>
      </c>
      <c r="H31">
        <v>4</v>
      </c>
      <c r="I31">
        <v>4</v>
      </c>
      <c r="J31">
        <v>4</v>
      </c>
      <c r="K31">
        <f>SUM(Table1456[[#This Row],[912]:[112]])</f>
        <v>40</v>
      </c>
      <c r="L31" s="4">
        <f>AVERAGE(Table1456[[#This Row],[912]:[112]])</f>
        <v>4.4444444444444446</v>
      </c>
      <c r="N31" t="s">
        <v>115</v>
      </c>
      <c r="O31">
        <v>7</v>
      </c>
      <c r="P31">
        <v>7</v>
      </c>
      <c r="Q31">
        <v>7</v>
      </c>
      <c r="R31">
        <v>7</v>
      </c>
      <c r="S31">
        <v>1</v>
      </c>
      <c r="T31">
        <v>7</v>
      </c>
      <c r="U31">
        <v>3</v>
      </c>
      <c r="V31">
        <v>3</v>
      </c>
      <c r="W31">
        <v>3</v>
      </c>
      <c r="X31">
        <f>SUM(Table14561612[[#This Row],[912]:[112]])</f>
        <v>45</v>
      </c>
      <c r="Y31" s="4">
        <f>AVERAGE(Table14561612[[#This Row],[912]:[112]])</f>
        <v>5</v>
      </c>
    </row>
    <row r="32" spans="1:25" x14ac:dyDescent="0.35">
      <c r="A32" t="s">
        <v>54</v>
      </c>
      <c r="B32">
        <f t="shared" ref="B32:K32" si="0">SUM(B2:B31)</f>
        <v>111</v>
      </c>
      <c r="C32">
        <f t="shared" si="0"/>
        <v>112</v>
      </c>
      <c r="D32">
        <f t="shared" si="0"/>
        <v>111</v>
      </c>
      <c r="E32">
        <f t="shared" si="0"/>
        <v>110</v>
      </c>
      <c r="F32">
        <f t="shared" si="0"/>
        <v>105</v>
      </c>
      <c r="G32">
        <f t="shared" si="0"/>
        <v>111</v>
      </c>
      <c r="H32">
        <f t="shared" si="0"/>
        <v>115</v>
      </c>
      <c r="I32">
        <f t="shared" si="0"/>
        <v>110</v>
      </c>
      <c r="J32">
        <f t="shared" si="0"/>
        <v>113</v>
      </c>
      <c r="K32">
        <f t="shared" si="0"/>
        <v>998</v>
      </c>
      <c r="N32" t="s">
        <v>54</v>
      </c>
      <c r="O32">
        <f t="shared" ref="O32:X32" si="1">SUM(O2:O31)</f>
        <v>155</v>
      </c>
      <c r="P32">
        <f t="shared" si="1"/>
        <v>151</v>
      </c>
      <c r="Q32">
        <f t="shared" si="1"/>
        <v>152</v>
      </c>
      <c r="R32">
        <f t="shared" si="1"/>
        <v>148.5</v>
      </c>
      <c r="S32">
        <f t="shared" si="1"/>
        <v>140</v>
      </c>
      <c r="T32">
        <f t="shared" si="1"/>
        <v>146.5</v>
      </c>
      <c r="U32">
        <f t="shared" si="1"/>
        <v>157</v>
      </c>
      <c r="V32">
        <f t="shared" si="1"/>
        <v>147</v>
      </c>
      <c r="W32">
        <f t="shared" si="1"/>
        <v>153</v>
      </c>
      <c r="X32">
        <f t="shared" si="1"/>
        <v>1350</v>
      </c>
      <c r="Y32" s="4"/>
    </row>
    <row r="33" spans="1:25" x14ac:dyDescent="0.35">
      <c r="A33" t="s">
        <v>93</v>
      </c>
      <c r="B33">
        <f t="shared" ref="B33:J33" si="2">AVERAGE(B2:B31)</f>
        <v>3.7</v>
      </c>
      <c r="C33" s="4">
        <f t="shared" si="2"/>
        <v>3.7333333333333334</v>
      </c>
      <c r="D33">
        <f t="shared" si="2"/>
        <v>3.7</v>
      </c>
      <c r="E33" s="4">
        <f t="shared" si="2"/>
        <v>3.6666666666666665</v>
      </c>
      <c r="F33">
        <f t="shared" si="2"/>
        <v>3.5</v>
      </c>
      <c r="G33">
        <f t="shared" si="2"/>
        <v>3.7</v>
      </c>
      <c r="H33" s="4">
        <f t="shared" si="2"/>
        <v>3.8333333333333335</v>
      </c>
      <c r="I33" s="4">
        <f t="shared" si="2"/>
        <v>3.6666666666666665</v>
      </c>
      <c r="J33" s="4">
        <f t="shared" si="2"/>
        <v>3.7666666666666666</v>
      </c>
      <c r="N33" t="s">
        <v>93</v>
      </c>
      <c r="O33" s="4">
        <f t="shared" ref="O33:W33" si="3">AVERAGE(O2:O31)</f>
        <v>5.166666666666667</v>
      </c>
      <c r="P33" s="4">
        <f t="shared" si="3"/>
        <v>5.0333333333333332</v>
      </c>
      <c r="Q33" s="4">
        <f t="shared" si="3"/>
        <v>5.0666666666666664</v>
      </c>
      <c r="R33" s="4">
        <f t="shared" si="3"/>
        <v>4.95</v>
      </c>
      <c r="S33" s="4">
        <f t="shared" si="3"/>
        <v>4.666666666666667</v>
      </c>
      <c r="T33" s="4">
        <f t="shared" si="3"/>
        <v>4.8833333333333337</v>
      </c>
      <c r="U33" s="4">
        <f t="shared" si="3"/>
        <v>5.2333333333333334</v>
      </c>
      <c r="V33" s="4">
        <f t="shared" si="3"/>
        <v>4.9000000000000004</v>
      </c>
      <c r="W33" s="4">
        <f t="shared" si="3"/>
        <v>5.0999999999999996</v>
      </c>
      <c r="Y33" s="4"/>
    </row>
    <row r="35" spans="1:25" x14ac:dyDescent="0.35">
      <c r="F35" t="s">
        <v>257</v>
      </c>
      <c r="G35">
        <v>30</v>
      </c>
      <c r="O35" s="113" t="s">
        <v>114</v>
      </c>
      <c r="P35" s="114"/>
      <c r="Q35" s="114"/>
      <c r="R35" s="114"/>
      <c r="S35" s="114"/>
      <c r="T35" s="115"/>
      <c r="U35" s="14" t="s">
        <v>113</v>
      </c>
      <c r="V35" s="14" t="s">
        <v>112</v>
      </c>
    </row>
    <row r="36" spans="1:25" x14ac:dyDescent="0.35">
      <c r="F36" t="s">
        <v>63</v>
      </c>
      <c r="G36">
        <v>9</v>
      </c>
      <c r="O36" s="112" t="s">
        <v>110</v>
      </c>
      <c r="P36" s="112"/>
      <c r="Q36" s="112"/>
      <c r="R36" s="112"/>
      <c r="S36" s="112"/>
      <c r="T36" s="112"/>
      <c r="U36" s="13">
        <f>B33</f>
        <v>3.7</v>
      </c>
      <c r="V36" s="12">
        <f>O32</f>
        <v>155</v>
      </c>
    </row>
    <row r="37" spans="1:25" x14ac:dyDescent="0.35">
      <c r="O37" s="112" t="s">
        <v>108</v>
      </c>
      <c r="P37" s="112"/>
      <c r="Q37" s="112"/>
      <c r="R37" s="112"/>
      <c r="S37" s="112"/>
      <c r="T37" s="112"/>
      <c r="U37" s="13">
        <f>C33</f>
        <v>3.7333333333333334</v>
      </c>
      <c r="V37" s="12">
        <f>P32</f>
        <v>151</v>
      </c>
    </row>
    <row r="38" spans="1:25" x14ac:dyDescent="0.35">
      <c r="F38" t="s">
        <v>75</v>
      </c>
      <c r="G38">
        <f>(12/(G35*G36*(G36+1))*SUMSQ(O32:W32)-3*G35*(G36+1))</f>
        <v>0.94000000000005457</v>
      </c>
      <c r="O38" s="112" t="s">
        <v>107</v>
      </c>
      <c r="P38" s="112"/>
      <c r="Q38" s="112"/>
      <c r="R38" s="112"/>
      <c r="S38" s="112"/>
      <c r="T38" s="112"/>
      <c r="U38" s="13">
        <f>D33</f>
        <v>3.7</v>
      </c>
      <c r="V38" s="12">
        <f>Q32</f>
        <v>152</v>
      </c>
    </row>
    <row r="39" spans="1:25" x14ac:dyDescent="0.35">
      <c r="F39" t="s">
        <v>111</v>
      </c>
      <c r="G39">
        <f>_xlfn.CHISQ.INV.RT(0.05,8)</f>
        <v>15.507313055865453</v>
      </c>
      <c r="O39" s="112" t="s">
        <v>106</v>
      </c>
      <c r="P39" s="112"/>
      <c r="Q39" s="112"/>
      <c r="R39" s="112"/>
      <c r="S39" s="112"/>
      <c r="T39" s="112"/>
      <c r="U39" s="13">
        <f>E33</f>
        <v>3.6666666666666665</v>
      </c>
      <c r="V39" s="12">
        <f>R32</f>
        <v>148.5</v>
      </c>
    </row>
    <row r="40" spans="1:25" x14ac:dyDescent="0.35">
      <c r="F40" t="s">
        <v>109</v>
      </c>
      <c r="G40" t="str">
        <f>IF(G38&lt;G39,"H0 Diterima","H0 Ditolak")</f>
        <v>H0 Diterima</v>
      </c>
      <c r="O40" s="112" t="s">
        <v>105</v>
      </c>
      <c r="P40" s="112"/>
      <c r="Q40" s="112"/>
      <c r="R40" s="112"/>
      <c r="S40" s="112"/>
      <c r="T40" s="112"/>
      <c r="U40" s="13">
        <f>F33</f>
        <v>3.5</v>
      </c>
      <c r="V40" s="12">
        <f>S32</f>
        <v>140</v>
      </c>
    </row>
    <row r="41" spans="1:25" x14ac:dyDescent="0.35">
      <c r="F41" s="94" t="s">
        <v>109</v>
      </c>
      <c r="G41" s="95" t="s">
        <v>258</v>
      </c>
      <c r="I41" t="s">
        <v>262</v>
      </c>
      <c r="O41" s="112" t="s">
        <v>104</v>
      </c>
      <c r="P41" s="112"/>
      <c r="Q41" s="112"/>
      <c r="R41" s="112"/>
      <c r="S41" s="112"/>
      <c r="T41" s="112"/>
      <c r="U41" s="13">
        <f>G33</f>
        <v>3.7</v>
      </c>
      <c r="V41" s="12">
        <f>T32</f>
        <v>146.5</v>
      </c>
    </row>
    <row r="42" spans="1:25" x14ac:dyDescent="0.35">
      <c r="F42" s="98" t="s">
        <v>259</v>
      </c>
      <c r="G42" s="98" t="s">
        <v>260</v>
      </c>
      <c r="H42" s="98"/>
      <c r="I42" s="98" t="s">
        <v>261</v>
      </c>
      <c r="J42" s="98"/>
      <c r="K42" s="98"/>
      <c r="L42" s="98"/>
      <c r="O42" s="112" t="s">
        <v>103</v>
      </c>
      <c r="P42" s="112"/>
      <c r="Q42" s="112"/>
      <c r="R42" s="112"/>
      <c r="S42" s="112"/>
      <c r="T42" s="112"/>
      <c r="U42" s="13">
        <f>H33</f>
        <v>3.8333333333333335</v>
      </c>
      <c r="V42" s="12">
        <f>U32</f>
        <v>157</v>
      </c>
    </row>
    <row r="43" spans="1:25" x14ac:dyDescent="0.35">
      <c r="O43" s="112" t="s">
        <v>102</v>
      </c>
      <c r="P43" s="112"/>
      <c r="Q43" s="112"/>
      <c r="R43" s="112"/>
      <c r="S43" s="112"/>
      <c r="T43" s="112"/>
      <c r="U43" s="13">
        <f>I33</f>
        <v>3.6666666666666665</v>
      </c>
      <c r="V43" s="12">
        <f>V32</f>
        <v>147</v>
      </c>
    </row>
    <row r="44" spans="1:25" x14ac:dyDescent="0.35">
      <c r="O44" s="112" t="s">
        <v>101</v>
      </c>
      <c r="P44" s="112"/>
      <c r="Q44" s="112"/>
      <c r="R44" s="112"/>
      <c r="S44" s="112"/>
      <c r="T44" s="112"/>
      <c r="U44" s="13">
        <f>J33</f>
        <v>3.7666666666666666</v>
      </c>
      <c r="V44" s="12">
        <f>W32</f>
        <v>153</v>
      </c>
    </row>
    <row r="45" spans="1:25" x14ac:dyDescent="0.35">
      <c r="O45" s="113" t="s">
        <v>100</v>
      </c>
      <c r="P45" s="114"/>
      <c r="Q45" s="114"/>
      <c r="R45" s="114"/>
      <c r="S45" s="114"/>
      <c r="T45" s="115"/>
      <c r="U45" s="113" t="s">
        <v>84</v>
      </c>
      <c r="V45" s="115"/>
    </row>
  </sheetData>
  <mergeCells count="12">
    <mergeCell ref="O44:T44"/>
    <mergeCell ref="O45:T45"/>
    <mergeCell ref="U45:V45"/>
    <mergeCell ref="O35:T35"/>
    <mergeCell ref="O36:T36"/>
    <mergeCell ref="O37:T37"/>
    <mergeCell ref="O38:T38"/>
    <mergeCell ref="O39:T39"/>
    <mergeCell ref="O40:T40"/>
    <mergeCell ref="O41:T41"/>
    <mergeCell ref="O42:T42"/>
    <mergeCell ref="O43:T43"/>
  </mergeCells>
  <conditionalFormatting sqref="X2:X31">
    <cfRule type="cellIs" dxfId="4" priority="1" operator="greaterThan">
      <formula>45</formula>
    </cfRule>
  </conditionalFormatting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8A9CB-1B34-48AB-A18F-90F7BD0AD42A}">
  <dimension ref="A2:AF53"/>
  <sheetViews>
    <sheetView topLeftCell="A25" zoomScale="70" zoomScaleNormal="70" workbookViewId="0">
      <selection activeCell="AJ18" sqref="AJ18"/>
    </sheetView>
  </sheetViews>
  <sheetFormatPr defaultRowHeight="14.5" x14ac:dyDescent="0.35"/>
  <cols>
    <col min="1" max="1" width="10.26953125" customWidth="1"/>
    <col min="6" max="6" width="15.26953125" customWidth="1"/>
    <col min="9" max="9" width="10.26953125" customWidth="1"/>
    <col min="11" max="11" width="12.54296875" customWidth="1"/>
    <col min="12" max="12" width="12.26953125" customWidth="1"/>
    <col min="15" max="30" width="0" hidden="1" customWidth="1"/>
  </cols>
  <sheetData>
    <row r="2" spans="1:32" x14ac:dyDescent="0.35">
      <c r="A2" t="s">
        <v>41</v>
      </c>
      <c r="B2" t="s">
        <v>42</v>
      </c>
      <c r="C2" t="s">
        <v>43</v>
      </c>
      <c r="D2" t="s">
        <v>44</v>
      </c>
      <c r="F2" t="s">
        <v>41</v>
      </c>
      <c r="G2" t="s">
        <v>42</v>
      </c>
      <c r="H2" t="s">
        <v>43</v>
      </c>
      <c r="I2" t="s">
        <v>44</v>
      </c>
      <c r="J2" t="s">
        <v>54</v>
      </c>
      <c r="K2" t="s">
        <v>93</v>
      </c>
      <c r="L2" t="s">
        <v>92</v>
      </c>
      <c r="N2" s="102" t="s">
        <v>254</v>
      </c>
      <c r="O2" s="102"/>
      <c r="P2" s="102"/>
      <c r="Q2" s="102"/>
      <c r="R2" s="76" t="s">
        <v>239</v>
      </c>
      <c r="S2" s="28"/>
      <c r="T2" s="28"/>
      <c r="U2" s="102" t="s">
        <v>254</v>
      </c>
      <c r="V2" s="102"/>
      <c r="W2" s="102"/>
      <c r="X2" s="102"/>
      <c r="Y2" s="76" t="s">
        <v>239</v>
      </c>
      <c r="Z2" s="29" t="s">
        <v>247</v>
      </c>
      <c r="AA2" s="29" t="s">
        <v>248</v>
      </c>
      <c r="AB2" s="29" t="s">
        <v>249</v>
      </c>
      <c r="AC2" s="29" t="s">
        <v>250</v>
      </c>
      <c r="AD2" s="29" t="s">
        <v>251</v>
      </c>
      <c r="AE2" s="65" t="s">
        <v>252</v>
      </c>
      <c r="AF2" s="77" t="s">
        <v>253</v>
      </c>
    </row>
    <row r="3" spans="1:32" x14ac:dyDescent="0.35">
      <c r="A3" t="s">
        <v>45</v>
      </c>
      <c r="B3">
        <v>1.7</v>
      </c>
      <c r="C3">
        <v>2</v>
      </c>
      <c r="D3">
        <v>0.1</v>
      </c>
      <c r="F3" t="s">
        <v>45</v>
      </c>
      <c r="G3">
        <v>1.7</v>
      </c>
      <c r="H3">
        <v>2</v>
      </c>
      <c r="I3">
        <v>0.1</v>
      </c>
      <c r="J3">
        <f>SUM(Table18[[#This Row],[U1]:[U3]])</f>
        <v>3.8000000000000003</v>
      </c>
      <c r="K3" s="2">
        <f>AVERAGE(Table18[[#This Row],[U1]:[U3]])</f>
        <v>1.2666666666666668</v>
      </c>
      <c r="L3" s="2">
        <f>_xlfn.STDEV.P(Table18[[#This Row],[U1]:[U3]])</f>
        <v>0.83399973354645351</v>
      </c>
      <c r="N3" s="103" t="s">
        <v>69</v>
      </c>
      <c r="O3" s="44">
        <v>1.7</v>
      </c>
      <c r="P3" s="44">
        <v>2</v>
      </c>
      <c r="Q3" s="44">
        <v>0.1</v>
      </c>
      <c r="R3" s="106">
        <f>SUM(O3:Q5)</f>
        <v>8</v>
      </c>
      <c r="S3" s="106">
        <f>AVERAGE(O3:Q5)</f>
        <v>0.88888888888888884</v>
      </c>
      <c r="T3" s="62"/>
      <c r="U3" s="103" t="s">
        <v>232</v>
      </c>
      <c r="V3" s="64">
        <f>O3^2</f>
        <v>2.8899999999999997</v>
      </c>
      <c r="W3" s="64">
        <f t="shared" ref="W3:X20" si="0">P3^2</f>
        <v>4</v>
      </c>
      <c r="X3" s="64">
        <f t="shared" si="0"/>
        <v>1.0000000000000002E-2</v>
      </c>
      <c r="Y3" s="106">
        <f>SUM(V3:X5)</f>
        <v>9.879999999999999</v>
      </c>
      <c r="Z3" s="106">
        <f>Y3*9</f>
        <v>88.919999999999987</v>
      </c>
      <c r="AA3" s="106">
        <f>R3^2</f>
        <v>64</v>
      </c>
      <c r="AB3" s="106">
        <f>Z3-AA3</f>
        <v>24.919999999999987</v>
      </c>
      <c r="AC3" s="106">
        <f>AB3/8</f>
        <v>3.1149999999999984</v>
      </c>
      <c r="AD3" s="106">
        <f>SQRT(AC3)</f>
        <v>1.7649362594722786</v>
      </c>
      <c r="AE3" s="106">
        <f>(1/9)*AD3</f>
        <v>0.19610402883025316</v>
      </c>
      <c r="AF3" s="109">
        <f>AE3/S3</f>
        <v>0.22061703243403483</v>
      </c>
    </row>
    <row r="4" spans="1:32" x14ac:dyDescent="0.35">
      <c r="A4" t="s">
        <v>46</v>
      </c>
      <c r="B4">
        <v>1.1000000000000001</v>
      </c>
      <c r="C4">
        <v>1.1000000000000001</v>
      </c>
      <c r="D4">
        <v>1</v>
      </c>
      <c r="F4" t="s">
        <v>46</v>
      </c>
      <c r="G4">
        <v>1.1000000000000001</v>
      </c>
      <c r="H4">
        <v>1.1000000000000001</v>
      </c>
      <c r="I4">
        <v>1</v>
      </c>
      <c r="J4">
        <f>SUM(Table18[[#This Row],[U1]:[U3]])</f>
        <v>3.2</v>
      </c>
      <c r="K4" s="2">
        <f>AVERAGE(Table18[[#This Row],[U1]:[U3]])</f>
        <v>1.0666666666666667</v>
      </c>
      <c r="L4" s="2">
        <f>_xlfn.STDEV.P(Table18[[#This Row],[U1]:[U3]])</f>
        <v>4.7140452079103209E-2</v>
      </c>
      <c r="N4" s="104"/>
      <c r="O4" s="45">
        <v>0.8</v>
      </c>
      <c r="P4" s="45">
        <v>0.7</v>
      </c>
      <c r="Q4" s="45">
        <v>0.7</v>
      </c>
      <c r="R4" s="107"/>
      <c r="S4" s="107"/>
      <c r="T4" s="62"/>
      <c r="U4" s="104"/>
      <c r="V4" s="28">
        <f t="shared" ref="V4:V20" si="1">O4^2</f>
        <v>0.64000000000000012</v>
      </c>
      <c r="W4" s="28">
        <f t="shared" si="0"/>
        <v>0.48999999999999994</v>
      </c>
      <c r="X4" s="28">
        <f t="shared" si="0"/>
        <v>0.48999999999999994</v>
      </c>
      <c r="Y4" s="107"/>
      <c r="Z4" s="107"/>
      <c r="AA4" s="107"/>
      <c r="AB4" s="107"/>
      <c r="AC4" s="107"/>
      <c r="AD4" s="107"/>
      <c r="AE4" s="107"/>
      <c r="AF4" s="110"/>
    </row>
    <row r="5" spans="1:32" x14ac:dyDescent="0.35">
      <c r="A5" t="s">
        <v>47</v>
      </c>
      <c r="B5">
        <v>0.7</v>
      </c>
      <c r="C5">
        <v>0.7</v>
      </c>
      <c r="D5">
        <v>1.3</v>
      </c>
      <c r="F5" t="s">
        <v>47</v>
      </c>
      <c r="G5">
        <v>0.7</v>
      </c>
      <c r="H5">
        <v>0.7</v>
      </c>
      <c r="I5">
        <v>1.3</v>
      </c>
      <c r="J5">
        <f>SUM(Table18[[#This Row],[U1]:[U3]])</f>
        <v>2.7</v>
      </c>
      <c r="K5" s="2">
        <f>AVERAGE(Table18[[#This Row],[U1]:[U3]])</f>
        <v>0.9</v>
      </c>
      <c r="L5" s="2">
        <f>_xlfn.STDEV.P(Table18[[#This Row],[U1]:[U3]])</f>
        <v>0.28284271247461878</v>
      </c>
      <c r="N5" s="105"/>
      <c r="O5" s="44">
        <v>0.6</v>
      </c>
      <c r="P5" s="44">
        <v>0.6</v>
      </c>
      <c r="Q5" s="44">
        <v>0.8</v>
      </c>
      <c r="R5" s="108"/>
      <c r="S5" s="108"/>
      <c r="T5" s="62"/>
      <c r="U5" s="105"/>
      <c r="V5" s="63">
        <f t="shared" si="1"/>
        <v>0.36</v>
      </c>
      <c r="W5" s="63">
        <f t="shared" si="0"/>
        <v>0.36</v>
      </c>
      <c r="X5" s="63">
        <f t="shared" si="0"/>
        <v>0.64000000000000012</v>
      </c>
      <c r="Y5" s="108"/>
      <c r="Z5" s="108"/>
      <c r="AA5" s="108"/>
      <c r="AB5" s="108"/>
      <c r="AC5" s="108"/>
      <c r="AD5" s="108"/>
      <c r="AE5" s="108"/>
      <c r="AF5" s="111"/>
    </row>
    <row r="6" spans="1:32" x14ac:dyDescent="0.35">
      <c r="A6" t="s">
        <v>48</v>
      </c>
      <c r="B6">
        <v>0.8</v>
      </c>
      <c r="C6">
        <v>0.7</v>
      </c>
      <c r="D6">
        <v>0.7</v>
      </c>
      <c r="F6" t="s">
        <v>48</v>
      </c>
      <c r="G6">
        <v>0.8</v>
      </c>
      <c r="H6">
        <v>0.7</v>
      </c>
      <c r="I6">
        <v>0.7</v>
      </c>
      <c r="J6">
        <f>SUM(Table18[[#This Row],[U1]:[U3]])</f>
        <v>2.2000000000000002</v>
      </c>
      <c r="K6" s="2">
        <f>AVERAGE(Table18[[#This Row],[U1]:[U3]])</f>
        <v>0.73333333333333339</v>
      </c>
      <c r="L6" s="2">
        <f>_xlfn.STDEV.P(Table18[[#This Row],[U1]:[U3]])</f>
        <v>4.7140452079103216E-2</v>
      </c>
      <c r="N6" s="104" t="s">
        <v>70</v>
      </c>
      <c r="O6" s="45">
        <v>1.1000000000000001</v>
      </c>
      <c r="P6" s="45">
        <v>1.1000000000000001</v>
      </c>
      <c r="Q6" s="45">
        <v>1</v>
      </c>
      <c r="R6" s="106">
        <f>SUM(O6:Q8)</f>
        <v>6.5</v>
      </c>
      <c r="S6" s="106">
        <f>AVERAGE(O6:Q8)</f>
        <v>0.72222222222222221</v>
      </c>
      <c r="T6" s="62"/>
      <c r="U6" s="104" t="s">
        <v>233</v>
      </c>
      <c r="V6" s="64">
        <f t="shared" si="1"/>
        <v>1.2100000000000002</v>
      </c>
      <c r="W6" s="64">
        <f t="shared" si="0"/>
        <v>1.2100000000000002</v>
      </c>
      <c r="X6" s="64">
        <f t="shared" si="0"/>
        <v>1</v>
      </c>
      <c r="Y6" s="106">
        <f>SUM(V6:X8)</f>
        <v>5.57</v>
      </c>
      <c r="Z6" s="106">
        <f t="shared" ref="Z6" si="2">Y6*9</f>
        <v>50.13</v>
      </c>
      <c r="AA6" s="106">
        <f>R6^2</f>
        <v>42.25</v>
      </c>
      <c r="AB6" s="106">
        <f t="shared" ref="AB6" si="3">Z6-AA6</f>
        <v>7.8800000000000026</v>
      </c>
      <c r="AC6" s="106">
        <f t="shared" ref="AC6" si="4">AB6/8</f>
        <v>0.98500000000000032</v>
      </c>
      <c r="AD6" s="106">
        <f t="shared" ref="AD6" si="5">SQRT(AC6)</f>
        <v>0.99247166206396054</v>
      </c>
      <c r="AE6" s="106">
        <f t="shared" ref="AE6" si="6">(1/9)*AD6</f>
        <v>0.11027462911821784</v>
      </c>
      <c r="AF6" s="109">
        <f>AE6/S6</f>
        <v>0.15268794800984009</v>
      </c>
    </row>
    <row r="7" spans="1:32" x14ac:dyDescent="0.35">
      <c r="A7" t="s">
        <v>49</v>
      </c>
      <c r="B7">
        <v>0.9</v>
      </c>
      <c r="C7">
        <v>0.4</v>
      </c>
      <c r="D7">
        <v>0.6</v>
      </c>
      <c r="F7" t="s">
        <v>49</v>
      </c>
      <c r="G7">
        <v>0.9</v>
      </c>
      <c r="H7">
        <v>0.4</v>
      </c>
      <c r="I7">
        <v>0.6</v>
      </c>
      <c r="J7">
        <f>SUM(Table18[[#This Row],[U1]:[U3]])</f>
        <v>1.9</v>
      </c>
      <c r="K7" s="2">
        <f>AVERAGE(Table18[[#This Row],[U1]:[U3]])</f>
        <v>0.6333333333333333</v>
      </c>
      <c r="L7" s="2">
        <f>_xlfn.STDEV.P(Table18[[#This Row],[U1]:[U3]])</f>
        <v>0.20548046676563264</v>
      </c>
      <c r="N7" s="104"/>
      <c r="O7" s="44">
        <v>0.9</v>
      </c>
      <c r="P7" s="44">
        <v>0.4</v>
      </c>
      <c r="Q7" s="44">
        <v>0.6</v>
      </c>
      <c r="R7" s="107"/>
      <c r="S7" s="107"/>
      <c r="T7" s="62"/>
      <c r="U7" s="104"/>
      <c r="V7" s="28">
        <f t="shared" si="1"/>
        <v>0.81</v>
      </c>
      <c r="W7" s="28">
        <f t="shared" si="0"/>
        <v>0.16000000000000003</v>
      </c>
      <c r="X7" s="28">
        <f t="shared" si="0"/>
        <v>0.36</v>
      </c>
      <c r="Y7" s="107"/>
      <c r="Z7" s="107"/>
      <c r="AA7" s="107"/>
      <c r="AB7" s="107"/>
      <c r="AC7" s="107"/>
      <c r="AD7" s="107"/>
      <c r="AE7" s="107"/>
      <c r="AF7" s="110"/>
    </row>
    <row r="8" spans="1:32" x14ac:dyDescent="0.35">
      <c r="A8" t="s">
        <v>50</v>
      </c>
      <c r="B8">
        <v>0.4</v>
      </c>
      <c r="C8">
        <v>0.3</v>
      </c>
      <c r="D8">
        <v>0.7</v>
      </c>
      <c r="F8" t="s">
        <v>50</v>
      </c>
      <c r="G8">
        <v>0.4</v>
      </c>
      <c r="H8">
        <v>0.3</v>
      </c>
      <c r="I8">
        <v>0.7</v>
      </c>
      <c r="J8">
        <f>SUM(Table18[[#This Row],[U1]:[U3]])</f>
        <v>1.4</v>
      </c>
      <c r="K8" s="2">
        <f>AVERAGE(Table18[[#This Row],[U1]:[U3]])</f>
        <v>0.46666666666666662</v>
      </c>
      <c r="L8" s="2">
        <f>_xlfn.STDEV.P(Table18[[#This Row],[U1]:[U3]])</f>
        <v>0.16996731711975951</v>
      </c>
      <c r="N8" s="105"/>
      <c r="O8" s="45">
        <v>0.3</v>
      </c>
      <c r="P8" s="45">
        <v>0.3</v>
      </c>
      <c r="Q8" s="45">
        <v>0.8</v>
      </c>
      <c r="R8" s="108"/>
      <c r="S8" s="108"/>
      <c r="T8" s="62"/>
      <c r="U8" s="105"/>
      <c r="V8" s="63">
        <f t="shared" si="1"/>
        <v>0.09</v>
      </c>
      <c r="W8" s="63">
        <f t="shared" si="0"/>
        <v>0.09</v>
      </c>
      <c r="X8" s="63">
        <f t="shared" si="0"/>
        <v>0.64000000000000012</v>
      </c>
      <c r="Y8" s="108"/>
      <c r="Z8" s="108"/>
      <c r="AA8" s="108"/>
      <c r="AB8" s="108"/>
      <c r="AC8" s="108"/>
      <c r="AD8" s="108"/>
      <c r="AE8" s="108"/>
      <c r="AF8" s="111"/>
    </row>
    <row r="9" spans="1:32" x14ac:dyDescent="0.35">
      <c r="A9" t="s">
        <v>51</v>
      </c>
      <c r="B9">
        <v>0.6</v>
      </c>
      <c r="C9">
        <v>0.6</v>
      </c>
      <c r="D9">
        <v>0.8</v>
      </c>
      <c r="F9" t="s">
        <v>51</v>
      </c>
      <c r="G9">
        <v>0.6</v>
      </c>
      <c r="H9">
        <v>0.6</v>
      </c>
      <c r="I9">
        <v>0.8</v>
      </c>
      <c r="J9">
        <f>SUM(Table18[[#This Row],[U1]:[U3]])</f>
        <v>2</v>
      </c>
      <c r="K9" s="2">
        <f>AVERAGE(Table18[[#This Row],[U1]:[U3]])</f>
        <v>0.66666666666666663</v>
      </c>
      <c r="L9" s="2">
        <f>_xlfn.STDEV.P(Table18[[#This Row],[U1]:[U3]])</f>
        <v>9.4280904158206377E-2</v>
      </c>
      <c r="N9" s="104" t="s">
        <v>71</v>
      </c>
      <c r="O9" s="44">
        <v>0.7</v>
      </c>
      <c r="P9" s="44">
        <v>0.7</v>
      </c>
      <c r="Q9" s="44">
        <v>1.3</v>
      </c>
      <c r="R9" s="106">
        <f>SUM(O9:Q11)</f>
        <v>5.0999999999999996</v>
      </c>
      <c r="S9" s="106">
        <f>AVERAGE(O9:Q11)</f>
        <v>0.56666666666666665</v>
      </c>
      <c r="T9" s="62"/>
      <c r="U9" s="104" t="s">
        <v>234</v>
      </c>
      <c r="V9" s="64">
        <f t="shared" si="1"/>
        <v>0.48999999999999994</v>
      </c>
      <c r="W9" s="64">
        <f t="shared" si="0"/>
        <v>0.48999999999999994</v>
      </c>
      <c r="X9" s="64">
        <f t="shared" si="0"/>
        <v>1.6900000000000002</v>
      </c>
      <c r="Y9" s="106">
        <f>SUM(V9:X11)</f>
        <v>3.7499999999999996</v>
      </c>
      <c r="Z9" s="106">
        <f t="shared" ref="Z9" si="7">Y9*9</f>
        <v>33.749999999999993</v>
      </c>
      <c r="AA9" s="106">
        <f>R9^2</f>
        <v>26.009999999999998</v>
      </c>
      <c r="AB9" s="106">
        <f t="shared" ref="AB9" si="8">Z9-AA9</f>
        <v>7.7399999999999949</v>
      </c>
      <c r="AC9" s="106">
        <f t="shared" ref="AC9" si="9">AB9/8</f>
        <v>0.96749999999999936</v>
      </c>
      <c r="AD9" s="106">
        <f t="shared" ref="AD9" si="10">SQRT(AC9)</f>
        <v>0.98361577864529981</v>
      </c>
      <c r="AE9" s="106">
        <f t="shared" ref="AE9" si="11">(1/9)*AD9</f>
        <v>0.10929064207169997</v>
      </c>
      <c r="AF9" s="109">
        <f>AE9/S9</f>
        <v>0.19286583895005879</v>
      </c>
    </row>
    <row r="10" spans="1:32" x14ac:dyDescent="0.35">
      <c r="A10" t="s">
        <v>52</v>
      </c>
      <c r="B10">
        <v>0.3</v>
      </c>
      <c r="C10">
        <v>0.3</v>
      </c>
      <c r="D10">
        <v>0.8</v>
      </c>
      <c r="F10" t="s">
        <v>52</v>
      </c>
      <c r="G10">
        <v>0.3</v>
      </c>
      <c r="H10">
        <v>0.3</v>
      </c>
      <c r="I10">
        <v>0.8</v>
      </c>
      <c r="J10">
        <f>SUM(Table18[[#This Row],[U1]:[U3]])</f>
        <v>1.4</v>
      </c>
      <c r="K10" s="2">
        <f>AVERAGE(Table18[[#This Row],[U1]:[U3]])</f>
        <v>0.46666666666666662</v>
      </c>
      <c r="L10" s="2">
        <f>_xlfn.STDEV.P(Table18[[#This Row],[U1]:[U3]])</f>
        <v>0.23570226039551589</v>
      </c>
      <c r="N10" s="104"/>
      <c r="O10" s="45">
        <v>0.4</v>
      </c>
      <c r="P10" s="45">
        <v>0.3</v>
      </c>
      <c r="Q10" s="45">
        <v>0.7</v>
      </c>
      <c r="R10" s="107"/>
      <c r="S10" s="107"/>
      <c r="T10" s="62"/>
      <c r="U10" s="104"/>
      <c r="V10" s="28">
        <f t="shared" si="1"/>
        <v>0.16000000000000003</v>
      </c>
      <c r="W10" s="28">
        <f t="shared" si="0"/>
        <v>0.09</v>
      </c>
      <c r="X10" s="28">
        <f t="shared" si="0"/>
        <v>0.48999999999999994</v>
      </c>
      <c r="Y10" s="107"/>
      <c r="Z10" s="107"/>
      <c r="AA10" s="107"/>
      <c r="AB10" s="107"/>
      <c r="AC10" s="107"/>
      <c r="AD10" s="107"/>
      <c r="AE10" s="107"/>
      <c r="AF10" s="110"/>
    </row>
    <row r="11" spans="1:32" x14ac:dyDescent="0.35">
      <c r="A11" t="s">
        <v>53</v>
      </c>
      <c r="B11">
        <v>0.4</v>
      </c>
      <c r="C11">
        <v>0.3</v>
      </c>
      <c r="D11">
        <v>0.3</v>
      </c>
      <c r="F11" t="s">
        <v>53</v>
      </c>
      <c r="G11">
        <v>0.4</v>
      </c>
      <c r="H11">
        <v>0.3</v>
      </c>
      <c r="I11">
        <v>0.3</v>
      </c>
      <c r="J11">
        <f>SUM(Table18[[#This Row],[U1]:[U3]])</f>
        <v>1</v>
      </c>
      <c r="K11" s="2">
        <f>AVERAGE(Table18[[#This Row],[U1]:[U3]])</f>
        <v>0.33333333333333331</v>
      </c>
      <c r="L11" s="2">
        <f>_xlfn.STDEV.P(Table18[[#This Row],[U1]:[U3]])</f>
        <v>4.7140452079103189E-2</v>
      </c>
      <c r="N11" s="105"/>
      <c r="O11" s="44">
        <v>0.4</v>
      </c>
      <c r="P11" s="44">
        <v>0.3</v>
      </c>
      <c r="Q11" s="44">
        <v>0.3</v>
      </c>
      <c r="R11" s="108"/>
      <c r="S11" s="108"/>
      <c r="T11" s="62"/>
      <c r="U11" s="105"/>
      <c r="V11" s="63">
        <f t="shared" si="1"/>
        <v>0.16000000000000003</v>
      </c>
      <c r="W11" s="63">
        <f t="shared" si="0"/>
        <v>0.09</v>
      </c>
      <c r="X11" s="63">
        <f t="shared" si="0"/>
        <v>0.09</v>
      </c>
      <c r="Y11" s="108"/>
      <c r="Z11" s="108"/>
      <c r="AA11" s="108"/>
      <c r="AB11" s="108"/>
      <c r="AC11" s="108"/>
      <c r="AD11" s="108"/>
      <c r="AE11" s="108"/>
      <c r="AF11" s="111"/>
    </row>
    <row r="12" spans="1:32" x14ac:dyDescent="0.35">
      <c r="F12" t="s">
        <v>54</v>
      </c>
      <c r="G12">
        <f>SUM(G3:G11)</f>
        <v>6.9</v>
      </c>
      <c r="H12">
        <f>SUM(H3:H11)</f>
        <v>6.3999999999999995</v>
      </c>
      <c r="I12">
        <f>SUM(I3:I11)</f>
        <v>6.3</v>
      </c>
      <c r="J12">
        <f>SUM(J3:J11)</f>
        <v>19.599999999999998</v>
      </c>
      <c r="N12" s="104" t="s">
        <v>65</v>
      </c>
      <c r="O12" s="44">
        <v>1.7</v>
      </c>
      <c r="P12" s="44">
        <v>2</v>
      </c>
      <c r="Q12" s="44">
        <v>0.1</v>
      </c>
      <c r="R12" s="106">
        <f>SUM(O12:Q14)</f>
        <v>9.7000000000000011</v>
      </c>
      <c r="S12" s="106">
        <f>AVERAGE(O12:Q14)</f>
        <v>1.0777777777777779</v>
      </c>
      <c r="T12" s="62"/>
      <c r="U12" s="104" t="s">
        <v>236</v>
      </c>
      <c r="V12" s="64">
        <f t="shared" si="1"/>
        <v>2.8899999999999997</v>
      </c>
      <c r="W12" s="64">
        <f t="shared" si="0"/>
        <v>4</v>
      </c>
      <c r="X12" s="64">
        <f t="shared" si="0"/>
        <v>1.0000000000000002E-2</v>
      </c>
      <c r="Y12" s="106">
        <f>SUM(V12:X14)</f>
        <v>12.99</v>
      </c>
      <c r="Z12" s="106">
        <f t="shared" ref="Z12" si="12">Y12*9</f>
        <v>116.91</v>
      </c>
      <c r="AA12" s="106">
        <f>R12^2</f>
        <v>94.090000000000018</v>
      </c>
      <c r="AB12" s="106">
        <f t="shared" ref="AB12" si="13">Z12-AA12</f>
        <v>22.819999999999979</v>
      </c>
      <c r="AC12" s="106">
        <f t="shared" ref="AC12" si="14">AB12/8</f>
        <v>2.8524999999999974</v>
      </c>
      <c r="AD12" s="106">
        <f t="shared" ref="AD12" si="15">SQRT(AC12)</f>
        <v>1.6889345754054528</v>
      </c>
      <c r="AE12" s="106">
        <f t="shared" ref="AE12" si="16">(1/9)*AD12</f>
        <v>0.18765939726727252</v>
      </c>
      <c r="AF12" s="109">
        <f>AE12/S12</f>
        <v>0.17411696653664457</v>
      </c>
    </row>
    <row r="13" spans="1:32" x14ac:dyDescent="0.35">
      <c r="F13" t="s">
        <v>93</v>
      </c>
      <c r="G13" s="2">
        <f>AVERAGE(G3:G11)</f>
        <v>0.76666666666666672</v>
      </c>
      <c r="H13">
        <f>AVERAGE(H3:H12)</f>
        <v>1.2799999999999998</v>
      </c>
      <c r="I13">
        <f>AVERAGE(I3:I11)</f>
        <v>0.7</v>
      </c>
      <c r="N13" s="104"/>
      <c r="O13" s="45">
        <v>1.1000000000000001</v>
      </c>
      <c r="P13" s="45">
        <v>1.1000000000000001</v>
      </c>
      <c r="Q13" s="45">
        <v>1</v>
      </c>
      <c r="R13" s="107"/>
      <c r="S13" s="107"/>
      <c r="T13" s="62"/>
      <c r="U13" s="104"/>
      <c r="V13" s="28">
        <f t="shared" si="1"/>
        <v>1.2100000000000002</v>
      </c>
      <c r="W13" s="28">
        <f t="shared" si="0"/>
        <v>1.2100000000000002</v>
      </c>
      <c r="X13" s="28">
        <f t="shared" si="0"/>
        <v>1</v>
      </c>
      <c r="Y13" s="107"/>
      <c r="Z13" s="107"/>
      <c r="AA13" s="107"/>
      <c r="AB13" s="107"/>
      <c r="AC13" s="107"/>
      <c r="AD13" s="107"/>
      <c r="AE13" s="107"/>
      <c r="AF13" s="110"/>
    </row>
    <row r="14" spans="1:32" x14ac:dyDescent="0.35">
      <c r="N14" s="105"/>
      <c r="O14" s="44">
        <v>0.7</v>
      </c>
      <c r="P14" s="44">
        <v>0.7</v>
      </c>
      <c r="Q14" s="44">
        <v>1.3</v>
      </c>
      <c r="R14" s="108"/>
      <c r="S14" s="108"/>
      <c r="T14" s="62"/>
      <c r="U14" s="105"/>
      <c r="V14" s="63">
        <f t="shared" si="1"/>
        <v>0.48999999999999994</v>
      </c>
      <c r="W14" s="63">
        <f t="shared" si="0"/>
        <v>0.48999999999999994</v>
      </c>
      <c r="X14" s="63">
        <f t="shared" si="0"/>
        <v>1.6900000000000002</v>
      </c>
      <c r="Y14" s="108"/>
      <c r="Z14" s="108"/>
      <c r="AA14" s="108"/>
      <c r="AB14" s="108"/>
      <c r="AC14" s="108"/>
      <c r="AD14" s="108"/>
      <c r="AE14" s="108"/>
      <c r="AF14" s="111"/>
    </row>
    <row r="15" spans="1:32" x14ac:dyDescent="0.35">
      <c r="F15" t="s">
        <v>58</v>
      </c>
      <c r="G15">
        <f>(J12^2)/(J15*J16)</f>
        <v>14.228148148148145</v>
      </c>
      <c r="I15" t="s">
        <v>63</v>
      </c>
      <c r="J15">
        <v>9</v>
      </c>
      <c r="K15" t="s">
        <v>72</v>
      </c>
      <c r="L15">
        <f>(((J23^2)+(J24^2)+(J25^2))/J15)-G15</f>
        <v>1.7385185185185197</v>
      </c>
      <c r="N15" s="104" t="s">
        <v>66</v>
      </c>
      <c r="O15" s="45">
        <v>0.8</v>
      </c>
      <c r="P15" s="45">
        <v>0.7</v>
      </c>
      <c r="Q15" s="45">
        <v>0.7</v>
      </c>
      <c r="R15" s="106">
        <f>SUM(O15:Q17)</f>
        <v>5.5</v>
      </c>
      <c r="S15" s="106">
        <f>AVERAGE(O15:Q17)</f>
        <v>0.61111111111111116</v>
      </c>
      <c r="T15" s="62"/>
      <c r="U15" s="104" t="s">
        <v>237</v>
      </c>
      <c r="V15" s="64">
        <f t="shared" si="1"/>
        <v>0.64000000000000012</v>
      </c>
      <c r="W15" s="64">
        <f t="shared" si="0"/>
        <v>0.48999999999999994</v>
      </c>
      <c r="X15" s="64">
        <f t="shared" si="0"/>
        <v>0.48999999999999994</v>
      </c>
      <c r="Y15" s="106">
        <f>SUM(V15:X17)</f>
        <v>3.69</v>
      </c>
      <c r="Z15" s="106">
        <f t="shared" ref="Z15" si="17">Y15*9</f>
        <v>33.21</v>
      </c>
      <c r="AA15" s="106">
        <f>R15^2</f>
        <v>30.25</v>
      </c>
      <c r="AB15" s="106">
        <f t="shared" ref="AB15" si="18">Z15-AA15</f>
        <v>2.9600000000000009</v>
      </c>
      <c r="AC15" s="106">
        <f t="shared" ref="AC15" si="19">AB15/8</f>
        <v>0.37000000000000011</v>
      </c>
      <c r="AD15" s="106">
        <f t="shared" ref="AD15" si="20">SQRT(AC15)</f>
        <v>0.60827625302982202</v>
      </c>
      <c r="AE15" s="106">
        <f t="shared" ref="AE15" si="21">(1/9)*AD15</f>
        <v>6.7586250336646891E-2</v>
      </c>
      <c r="AF15" s="109">
        <f>AE15/S15</f>
        <v>0.11059568236905853</v>
      </c>
    </row>
    <row r="16" spans="1:32" x14ac:dyDescent="0.35">
      <c r="F16" t="s">
        <v>59</v>
      </c>
      <c r="G16">
        <f>SUMSQ(G3:I11)-G15</f>
        <v>4.971851851851854</v>
      </c>
      <c r="I16" t="s">
        <v>64</v>
      </c>
      <c r="J16">
        <v>3</v>
      </c>
      <c r="K16" t="s">
        <v>225</v>
      </c>
      <c r="L16">
        <f>(((G26^2)+(H26^2)+(I26^2))/J15)-G15</f>
        <v>0.46740740740740883</v>
      </c>
      <c r="N16" s="104"/>
      <c r="O16" s="44">
        <v>0.9</v>
      </c>
      <c r="P16" s="44">
        <v>0.4</v>
      </c>
      <c r="Q16" s="44">
        <v>0.6</v>
      </c>
      <c r="R16" s="107"/>
      <c r="S16" s="107"/>
      <c r="T16" s="62"/>
      <c r="U16" s="104"/>
      <c r="V16" s="28">
        <f t="shared" si="1"/>
        <v>0.81</v>
      </c>
      <c r="W16" s="28">
        <f t="shared" si="0"/>
        <v>0.16000000000000003</v>
      </c>
      <c r="X16" s="28">
        <f t="shared" si="0"/>
        <v>0.36</v>
      </c>
      <c r="Y16" s="107"/>
      <c r="Z16" s="107"/>
      <c r="AA16" s="107"/>
      <c r="AB16" s="107"/>
      <c r="AC16" s="107"/>
      <c r="AD16" s="107"/>
      <c r="AE16" s="107"/>
      <c r="AF16" s="110"/>
    </row>
    <row r="17" spans="6:32" x14ac:dyDescent="0.35">
      <c r="F17" t="s">
        <v>60</v>
      </c>
      <c r="G17">
        <f>(((G12^2)+(H12^2)+(I12^2))/J15)-G15</f>
        <v>2.2962962962964184E-2</v>
      </c>
      <c r="K17" t="s">
        <v>241</v>
      </c>
      <c r="L17">
        <f>G18-L15-L16</f>
        <v>1.2592592592595153E-2</v>
      </c>
      <c r="N17" s="105"/>
      <c r="O17" s="45">
        <v>0.4</v>
      </c>
      <c r="P17" s="45">
        <v>0.3</v>
      </c>
      <c r="Q17" s="45">
        <v>0.7</v>
      </c>
      <c r="R17" s="108"/>
      <c r="S17" s="108"/>
      <c r="T17" s="62"/>
      <c r="U17" s="105"/>
      <c r="V17" s="63">
        <f t="shared" si="1"/>
        <v>0.16000000000000003</v>
      </c>
      <c r="W17" s="63">
        <f t="shared" si="0"/>
        <v>0.09</v>
      </c>
      <c r="X17" s="63">
        <f t="shared" si="0"/>
        <v>0.48999999999999994</v>
      </c>
      <c r="Y17" s="108"/>
      <c r="Z17" s="108"/>
      <c r="AA17" s="108"/>
      <c r="AB17" s="108"/>
      <c r="AC17" s="108"/>
      <c r="AD17" s="108"/>
      <c r="AE17" s="108"/>
      <c r="AF17" s="111"/>
    </row>
    <row r="18" spans="6:32" x14ac:dyDescent="0.35">
      <c r="F18" t="s">
        <v>61</v>
      </c>
      <c r="G18">
        <f>(SUMSQ(J3:J11)/J16)-G15</f>
        <v>2.2185185185185237</v>
      </c>
      <c r="N18" s="104" t="s">
        <v>67</v>
      </c>
      <c r="O18" s="44">
        <v>0.6</v>
      </c>
      <c r="P18" s="44">
        <v>0.6</v>
      </c>
      <c r="Q18" s="44">
        <v>0.8</v>
      </c>
      <c r="R18" s="106">
        <f>SUM(O18:Q20)</f>
        <v>4.3999999999999995</v>
      </c>
      <c r="S18" s="106">
        <f>AVERAGE(O18:Q20)</f>
        <v>0.48888888888888882</v>
      </c>
      <c r="T18" s="62"/>
      <c r="U18" s="104" t="s">
        <v>238</v>
      </c>
      <c r="V18" s="64">
        <f t="shared" si="1"/>
        <v>0.36</v>
      </c>
      <c r="W18" s="64">
        <f t="shared" si="0"/>
        <v>0.36</v>
      </c>
      <c r="X18" s="64">
        <f t="shared" si="0"/>
        <v>0.64000000000000012</v>
      </c>
      <c r="Y18" s="106">
        <f>SUM(V18:X20)</f>
        <v>2.5200000000000005</v>
      </c>
      <c r="Z18" s="106">
        <f t="shared" ref="Z18" si="22">Y18*9</f>
        <v>22.680000000000003</v>
      </c>
      <c r="AA18" s="106">
        <f>R18^2</f>
        <v>19.359999999999996</v>
      </c>
      <c r="AB18" s="106">
        <f t="shared" ref="AB18" si="23">Z18-AA18</f>
        <v>3.3200000000000074</v>
      </c>
      <c r="AC18" s="106">
        <f t="shared" ref="AC18" si="24">AB18/8</f>
        <v>0.41500000000000092</v>
      </c>
      <c r="AD18" s="106">
        <f t="shared" ref="AD18" si="25">SQRT(AC18)</f>
        <v>0.64420493633625697</v>
      </c>
      <c r="AE18" s="106">
        <f t="shared" ref="AE18" si="26">(1/9)*AD18</f>
        <v>7.1578326259584102E-2</v>
      </c>
      <c r="AF18" s="109">
        <f>AE18/S18</f>
        <v>0.14641021280369476</v>
      </c>
    </row>
    <row r="19" spans="6:32" x14ac:dyDescent="0.35">
      <c r="F19" t="s">
        <v>62</v>
      </c>
      <c r="G19">
        <f>G16-G17-G18</f>
        <v>2.7303703703703661</v>
      </c>
      <c r="N19" s="104"/>
      <c r="O19" s="45">
        <v>0.3</v>
      </c>
      <c r="P19" s="45">
        <v>0.3</v>
      </c>
      <c r="Q19" s="45">
        <v>0.8</v>
      </c>
      <c r="R19" s="107"/>
      <c r="S19" s="107"/>
      <c r="T19" s="62"/>
      <c r="U19" s="104"/>
      <c r="V19" s="28">
        <f t="shared" si="1"/>
        <v>0.09</v>
      </c>
      <c r="W19" s="28">
        <f t="shared" si="0"/>
        <v>0.09</v>
      </c>
      <c r="X19" s="28">
        <f t="shared" si="0"/>
        <v>0.64000000000000012</v>
      </c>
      <c r="Y19" s="107"/>
      <c r="Z19" s="107"/>
      <c r="AA19" s="107"/>
      <c r="AB19" s="107"/>
      <c r="AC19" s="107"/>
      <c r="AD19" s="107"/>
      <c r="AE19" s="107"/>
      <c r="AF19" s="110"/>
    </row>
    <row r="20" spans="6:32" x14ac:dyDescent="0.35">
      <c r="N20" s="105"/>
      <c r="O20" s="44">
        <v>0.4</v>
      </c>
      <c r="P20" s="44">
        <v>0.3</v>
      </c>
      <c r="Q20" s="44">
        <v>0.3</v>
      </c>
      <c r="R20" s="108"/>
      <c r="S20" s="108"/>
      <c r="T20" s="62"/>
      <c r="U20" s="105"/>
      <c r="V20" s="63">
        <f t="shared" si="1"/>
        <v>0.16000000000000003</v>
      </c>
      <c r="W20" s="63">
        <f t="shared" si="0"/>
        <v>0.09</v>
      </c>
      <c r="X20" s="63">
        <f t="shared" si="0"/>
        <v>0.09</v>
      </c>
      <c r="Y20" s="108"/>
      <c r="Z20" s="108"/>
      <c r="AA20" s="108"/>
      <c r="AB20" s="108"/>
      <c r="AC20" s="108"/>
      <c r="AD20" s="108"/>
      <c r="AE20" s="108"/>
      <c r="AF20" s="111"/>
    </row>
    <row r="21" spans="6:32" x14ac:dyDescent="0.35">
      <c r="F21" t="s">
        <v>91</v>
      </c>
    </row>
    <row r="22" spans="6:32" x14ac:dyDescent="0.35">
      <c r="F22" t="s">
        <v>41</v>
      </c>
      <c r="G22" t="s">
        <v>69</v>
      </c>
      <c r="H22" t="s">
        <v>70</v>
      </c>
      <c r="I22" t="s">
        <v>71</v>
      </c>
      <c r="J22" t="s">
        <v>54</v>
      </c>
      <c r="K22" t="s">
        <v>93</v>
      </c>
    </row>
    <row r="23" spans="6:32" x14ac:dyDescent="0.35">
      <c r="F23" t="s">
        <v>65</v>
      </c>
      <c r="G23" s="3">
        <f>J3</f>
        <v>3.8000000000000003</v>
      </c>
      <c r="H23" s="3">
        <f>J4</f>
        <v>3.2</v>
      </c>
      <c r="I23" s="3">
        <f>J5</f>
        <v>2.7</v>
      </c>
      <c r="J23" s="3">
        <f>SUM(Table195395[[#This Row],[S1]:[S3]])</f>
        <v>9.6999999999999993</v>
      </c>
      <c r="K23" s="3">
        <f>Table195395[[#This Row],[Total]]/9</f>
        <v>1.0777777777777777</v>
      </c>
    </row>
    <row r="24" spans="6:32" x14ac:dyDescent="0.35">
      <c r="F24" t="s">
        <v>66</v>
      </c>
      <c r="G24" s="3">
        <f>J6</f>
        <v>2.2000000000000002</v>
      </c>
      <c r="H24" s="3">
        <f>J7</f>
        <v>1.9</v>
      </c>
      <c r="I24" s="3">
        <f>J8</f>
        <v>1.4</v>
      </c>
      <c r="J24" s="3">
        <f>SUM(Table195395[[#This Row],[S1]:[S3]])</f>
        <v>5.5</v>
      </c>
      <c r="K24" s="3">
        <f>Table195395[[#This Row],[Total]]/9</f>
        <v>0.61111111111111116</v>
      </c>
    </row>
    <row r="25" spans="6:32" x14ac:dyDescent="0.35">
      <c r="F25" t="s">
        <v>67</v>
      </c>
      <c r="G25" s="3">
        <f>J9</f>
        <v>2</v>
      </c>
      <c r="H25" s="3">
        <f>J10</f>
        <v>1.4</v>
      </c>
      <c r="I25" s="3">
        <f>J11</f>
        <v>1</v>
      </c>
      <c r="J25" s="3">
        <f>SUM(Table195395[[#This Row],[S1]:[S3]])</f>
        <v>4.4000000000000004</v>
      </c>
      <c r="K25" s="3">
        <f>Table195395[[#This Row],[Total]]/9</f>
        <v>0.48888888888888893</v>
      </c>
    </row>
    <row r="26" spans="6:32" x14ac:dyDescent="0.35">
      <c r="F26" t="s">
        <v>54</v>
      </c>
      <c r="G26" s="3">
        <f>SUM(G23:G25)</f>
        <v>8</v>
      </c>
      <c r="H26" s="3">
        <f t="shared" ref="H26:I26" si="27">SUM(H23:H25)</f>
        <v>6.5</v>
      </c>
      <c r="I26" s="3">
        <f t="shared" si="27"/>
        <v>5.0999999999999996</v>
      </c>
      <c r="J26" s="3">
        <f>SUM(J23:J25)</f>
        <v>19.600000000000001</v>
      </c>
      <c r="K26" s="3"/>
    </row>
    <row r="27" spans="6:32" x14ac:dyDescent="0.35">
      <c r="F27" t="s">
        <v>93</v>
      </c>
      <c r="G27" s="3">
        <f>G26/9</f>
        <v>0.88888888888888884</v>
      </c>
      <c r="H27" s="3">
        <f t="shared" ref="H27:I27" si="28">H26/9</f>
        <v>0.72222222222222221</v>
      </c>
      <c r="I27" s="3">
        <f t="shared" si="28"/>
        <v>0.56666666666666665</v>
      </c>
      <c r="J27" s="3"/>
      <c r="K27" s="3"/>
    </row>
    <row r="29" spans="6:32" x14ac:dyDescent="0.35">
      <c r="F29" t="s">
        <v>99</v>
      </c>
    </row>
    <row r="30" spans="6:32" x14ac:dyDescent="0.35">
      <c r="F30" t="s">
        <v>74</v>
      </c>
      <c r="G30" t="s">
        <v>77</v>
      </c>
      <c r="H30" t="s">
        <v>78</v>
      </c>
      <c r="I30" t="s">
        <v>79</v>
      </c>
      <c r="J30" t="s">
        <v>80</v>
      </c>
      <c r="K30" t="s">
        <v>81</v>
      </c>
      <c r="L30" t="s">
        <v>82</v>
      </c>
      <c r="M30" t="s">
        <v>83</v>
      </c>
    </row>
    <row r="31" spans="6:32" x14ac:dyDescent="0.35">
      <c r="F31" t="s">
        <v>95</v>
      </c>
      <c r="G31">
        <v>2</v>
      </c>
      <c r="H31" s="3">
        <f>G17</f>
        <v>2.2962962962964184E-2</v>
      </c>
      <c r="I31" s="3">
        <f>Table21[[#This Row],[J.K]]/Table21[[#This Row],[d.b]]</f>
        <v>1.1481481481482092E-2</v>
      </c>
      <c r="J31" s="3">
        <f>Table21[[#This Row],[K.T]]/I36</f>
        <v>6.728160607705197E-2</v>
      </c>
      <c r="K31" s="3">
        <f>FINV(0.05,G31,$G$36)</f>
        <v>3.6337234675916301</v>
      </c>
      <c r="L31" s="3">
        <f t="shared" ref="L31:L32" si="29">FINV(0.01,G31,G36)</f>
        <v>6.2262352803113821</v>
      </c>
      <c r="M31" t="str">
        <f>IF(J31&lt;K31,"tidak berbeda nyata","berbeda nyata")</f>
        <v>tidak berbeda nyata</v>
      </c>
    </row>
    <row r="32" spans="6:32" x14ac:dyDescent="0.35">
      <c r="F32" t="s">
        <v>41</v>
      </c>
      <c r="G32">
        <v>8</v>
      </c>
      <c r="H32" s="3">
        <f>G18</f>
        <v>2.2185185185185237</v>
      </c>
      <c r="I32" s="3">
        <f>Table21[[#This Row],[J.K]]/Table21[[#This Row],[d.b]]</f>
        <v>0.27731481481481546</v>
      </c>
      <c r="J32" s="3">
        <f>Table21[[#This Row],[K.T]]/I37</f>
        <v>1.4502011323003603</v>
      </c>
      <c r="K32" s="3">
        <f t="shared" ref="K32:K35" si="30">FINV(0.05,G32,$G$36)</f>
        <v>2.5910961798744014</v>
      </c>
      <c r="L32" s="3">
        <f t="shared" si="29"/>
        <v>3.2883985212388325</v>
      </c>
      <c r="M32" t="str">
        <f t="shared" ref="M32:M35" si="31">IF(J32&lt;K32,"tidak berbeda nyata","berbeda nyata")</f>
        <v>tidak berbeda nyata</v>
      </c>
    </row>
    <row r="33" spans="6:13" x14ac:dyDescent="0.35">
      <c r="F33" t="s">
        <v>239</v>
      </c>
      <c r="G33">
        <v>2</v>
      </c>
      <c r="H33" s="3">
        <f>L16</f>
        <v>0.46740740740740883</v>
      </c>
      <c r="I33" s="3">
        <f>Table21[[#This Row],[J.K]]/Table21[[#This Row],[d.b]]</f>
        <v>0.23370370370370441</v>
      </c>
      <c r="J33" s="3">
        <f>Table21[[#This Row],[K.T]]/I36</f>
        <v>1.3695062398263764</v>
      </c>
      <c r="K33" s="3">
        <f>FINV(0.05,G33,$G$36)</f>
        <v>3.6337234675916301</v>
      </c>
      <c r="L33" s="3">
        <f>FINV(0.01,G33,G36)</f>
        <v>6.2262352803113821</v>
      </c>
      <c r="M33" t="str">
        <f>IF(J33&lt;K33,"tidak berbeda nyata","berbeda nyata")</f>
        <v>tidak berbeda nyata</v>
      </c>
    </row>
    <row r="34" spans="6:13" x14ac:dyDescent="0.35">
      <c r="F34" s="1" t="s">
        <v>76</v>
      </c>
      <c r="G34" s="1">
        <v>2</v>
      </c>
      <c r="H34" s="81">
        <f>L15</f>
        <v>1.7385185185185197</v>
      </c>
      <c r="I34" s="81">
        <f>Table21[[#This Row],[J.K]]/Table21[[#This Row],[d.b]]</f>
        <v>0.86925925925925984</v>
      </c>
      <c r="J34" s="81">
        <f>Table21[[#This Row],[K.T]]/I36</f>
        <v>5.0938686923494414</v>
      </c>
      <c r="K34" s="81">
        <f t="shared" si="30"/>
        <v>3.6337234675916301</v>
      </c>
      <c r="L34" s="81">
        <f>FINV(0.01,G34,G36)</f>
        <v>6.2262352803113821</v>
      </c>
      <c r="M34" s="1" t="str">
        <f t="shared" si="31"/>
        <v>berbeda nyata</v>
      </c>
    </row>
    <row r="35" spans="6:13" x14ac:dyDescent="0.35">
      <c r="F35" t="s">
        <v>240</v>
      </c>
      <c r="G35">
        <v>4</v>
      </c>
      <c r="H35" s="3">
        <f>L17</f>
        <v>1.2592592592595153E-2</v>
      </c>
      <c r="I35" s="3">
        <f>Table21[[#This Row],[J.K]]/Table21[[#This Row],[d.b]]</f>
        <v>3.1481481481487883E-3</v>
      </c>
      <c r="J35" s="3">
        <f>Table21[[#This Row],[K.T]]/I36</f>
        <v>1.8448182311452507E-2</v>
      </c>
      <c r="K35" s="3">
        <f t="shared" si="30"/>
        <v>3.0069172799243447</v>
      </c>
      <c r="L35" s="3">
        <f>FINV(0.01,G35,G36)</f>
        <v>4.772577999723211</v>
      </c>
      <c r="M35" t="str">
        <f t="shared" si="31"/>
        <v>tidak berbeda nyata</v>
      </c>
    </row>
    <row r="36" spans="6:13" x14ac:dyDescent="0.35">
      <c r="F36" t="s">
        <v>96</v>
      </c>
      <c r="G36">
        <v>16</v>
      </c>
      <c r="H36" s="3">
        <f>G19</f>
        <v>2.7303703703703661</v>
      </c>
      <c r="I36" s="3">
        <f>Table21[[#This Row],[J.K]]/Table21[[#This Row],[d.b]]</f>
        <v>0.17064814814814788</v>
      </c>
    </row>
    <row r="37" spans="6:13" x14ac:dyDescent="0.35">
      <c r="F37" t="s">
        <v>54</v>
      </c>
      <c r="G37">
        <v>26</v>
      </c>
      <c r="H37" s="3">
        <f>G16</f>
        <v>4.971851851851854</v>
      </c>
      <c r="I37" s="3">
        <f>Table21[[#This Row],[J.K]]/Table21[[#This Row],[d.b]]</f>
        <v>0.19122507122507132</v>
      </c>
    </row>
    <row r="39" spans="6:13" x14ac:dyDescent="0.35">
      <c r="F39" s="101" t="s">
        <v>243</v>
      </c>
      <c r="G39" s="101"/>
      <c r="H39" s="33"/>
      <c r="I39" s="88" t="s">
        <v>41</v>
      </c>
      <c r="J39" s="50" t="s">
        <v>68</v>
      </c>
      <c r="K39" s="89" t="s">
        <v>86</v>
      </c>
      <c r="L39" s="50"/>
    </row>
    <row r="40" spans="6:13" x14ac:dyDescent="0.35">
      <c r="F40" s="34" t="s">
        <v>229</v>
      </c>
      <c r="G40" s="35">
        <f>SQRT(I36/J15)</f>
        <v>0.13769860329645398</v>
      </c>
      <c r="H40" s="33"/>
      <c r="I40" t="s">
        <v>69</v>
      </c>
      <c r="J40" s="85">
        <f>G27</f>
        <v>0.88888888888888884</v>
      </c>
      <c r="K40" s="86" t="s">
        <v>87</v>
      </c>
      <c r="L40" s="85"/>
    </row>
    <row r="41" spans="6:13" x14ac:dyDescent="0.35">
      <c r="F41" s="34" t="s">
        <v>230</v>
      </c>
      <c r="G41" s="36">
        <v>3.65</v>
      </c>
      <c r="H41" s="33"/>
      <c r="I41" s="84" t="s">
        <v>70</v>
      </c>
      <c r="J41" s="85">
        <f>H27</f>
        <v>0.72222222222222221</v>
      </c>
      <c r="K41" s="86" t="s">
        <v>87</v>
      </c>
      <c r="L41" s="85"/>
    </row>
    <row r="42" spans="6:13" x14ac:dyDescent="0.35">
      <c r="F42" s="34" t="s">
        <v>231</v>
      </c>
      <c r="G42" s="35">
        <f>G40*G41</f>
        <v>0.50259990203205696</v>
      </c>
      <c r="H42" s="33"/>
      <c r="I42" t="s">
        <v>71</v>
      </c>
      <c r="J42" s="87">
        <f>I27</f>
        <v>0.56666666666666665</v>
      </c>
      <c r="K42" s="86" t="s">
        <v>87</v>
      </c>
      <c r="L42" s="49">
        <f>J42+$G$42</f>
        <v>1.0692665686987235</v>
      </c>
    </row>
    <row r="43" spans="6:13" x14ac:dyDescent="0.35">
      <c r="F43" s="37"/>
      <c r="G43" s="37"/>
      <c r="H43" s="37"/>
      <c r="I43" s="88" t="s">
        <v>235</v>
      </c>
      <c r="J43" s="50" t="s">
        <v>84</v>
      </c>
      <c r="K43" s="89"/>
      <c r="L43" s="50"/>
    </row>
    <row r="44" spans="6:13" x14ac:dyDescent="0.35">
      <c r="F44" s="24"/>
      <c r="G44" s="24"/>
      <c r="H44" s="24"/>
      <c r="I44" t="s">
        <v>65</v>
      </c>
      <c r="J44" s="85">
        <f>K23</f>
        <v>1.0777777777777777</v>
      </c>
      <c r="K44" s="86" t="s">
        <v>88</v>
      </c>
      <c r="L44" s="85"/>
    </row>
    <row r="45" spans="6:13" x14ac:dyDescent="0.35">
      <c r="I45" s="84" t="s">
        <v>66</v>
      </c>
      <c r="J45" s="85">
        <f>K24</f>
        <v>0.61111111111111116</v>
      </c>
      <c r="K45" s="86" t="s">
        <v>87</v>
      </c>
      <c r="L45" s="85"/>
    </row>
    <row r="46" spans="6:13" x14ac:dyDescent="0.35">
      <c r="I46" t="s">
        <v>67</v>
      </c>
      <c r="J46" s="85">
        <f>K25</f>
        <v>0.48888888888888893</v>
      </c>
      <c r="K46" s="86" t="s">
        <v>87</v>
      </c>
      <c r="L46" s="49">
        <f>J46+$G$42</f>
        <v>0.99148879092094588</v>
      </c>
    </row>
    <row r="47" spans="6:13" x14ac:dyDescent="0.35">
      <c r="I47" s="88" t="s">
        <v>235</v>
      </c>
      <c r="J47" s="90">
        <f>G42</f>
        <v>0.50259990203205696</v>
      </c>
      <c r="K47" s="91"/>
      <c r="L47" s="91"/>
    </row>
    <row r="48" spans="6:13" x14ac:dyDescent="0.35">
      <c r="J48" s="37"/>
      <c r="K48" s="37"/>
    </row>
    <row r="49" spans="10:11" x14ac:dyDescent="0.35">
      <c r="J49" s="37"/>
      <c r="K49" s="37"/>
    </row>
    <row r="50" spans="10:11" x14ac:dyDescent="0.35">
      <c r="J50" s="37"/>
      <c r="K50" s="37"/>
    </row>
    <row r="51" spans="10:11" x14ac:dyDescent="0.35">
      <c r="J51" s="37"/>
      <c r="K51" s="37"/>
    </row>
    <row r="52" spans="10:11" x14ac:dyDescent="0.35">
      <c r="J52" s="37"/>
      <c r="K52" s="37"/>
    </row>
    <row r="53" spans="10:11" x14ac:dyDescent="0.35">
      <c r="J53" s="11"/>
      <c r="K53" s="11"/>
    </row>
  </sheetData>
  <mergeCells count="75">
    <mergeCell ref="AD15:AD17"/>
    <mergeCell ref="AE15:AE17"/>
    <mergeCell ref="AF15:AF17"/>
    <mergeCell ref="AF18:AF20"/>
    <mergeCell ref="Z18:Z20"/>
    <mergeCell ref="AA18:AA20"/>
    <mergeCell ref="AB18:AB20"/>
    <mergeCell ref="AC18:AC20"/>
    <mergeCell ref="AD18:AD20"/>
    <mergeCell ref="AE18:AE20"/>
    <mergeCell ref="S18:S20"/>
    <mergeCell ref="U18:U20"/>
    <mergeCell ref="Y18:Y20"/>
    <mergeCell ref="AB15:AB17"/>
    <mergeCell ref="AC15:AC17"/>
    <mergeCell ref="AD12:AD14"/>
    <mergeCell ref="AE12:AE14"/>
    <mergeCell ref="AF12:AF14"/>
    <mergeCell ref="N15:N17"/>
    <mergeCell ref="R15:R17"/>
    <mergeCell ref="S15:S17"/>
    <mergeCell ref="U15:U17"/>
    <mergeCell ref="Y15:Y17"/>
    <mergeCell ref="Z15:Z17"/>
    <mergeCell ref="AA15:AA17"/>
    <mergeCell ref="U12:U14"/>
    <mergeCell ref="Y12:Y14"/>
    <mergeCell ref="Z12:Z14"/>
    <mergeCell ref="AA12:AA14"/>
    <mergeCell ref="AB12:AB14"/>
    <mergeCell ref="AC12:AC14"/>
    <mergeCell ref="Y9:Y11"/>
    <mergeCell ref="AF9:AF11"/>
    <mergeCell ref="AC6:AC8"/>
    <mergeCell ref="AD6:AD8"/>
    <mergeCell ref="AE6:AE8"/>
    <mergeCell ref="AF6:AF8"/>
    <mergeCell ref="AA9:AA11"/>
    <mergeCell ref="AB9:AB11"/>
    <mergeCell ref="AC9:AC11"/>
    <mergeCell ref="AD9:AD11"/>
    <mergeCell ref="AE9:AE11"/>
    <mergeCell ref="Z9:Z11"/>
    <mergeCell ref="AE3:AE5"/>
    <mergeCell ref="AF3:AF5"/>
    <mergeCell ref="N6:N8"/>
    <mergeCell ref="R6:R8"/>
    <mergeCell ref="S6:S8"/>
    <mergeCell ref="U6:U8"/>
    <mergeCell ref="Y6:Y8"/>
    <mergeCell ref="Z6:Z8"/>
    <mergeCell ref="AA6:AA8"/>
    <mergeCell ref="AB6:AB8"/>
    <mergeCell ref="Y3:Y5"/>
    <mergeCell ref="Z3:Z5"/>
    <mergeCell ref="AA3:AA5"/>
    <mergeCell ref="AB3:AB5"/>
    <mergeCell ref="AC3:AC5"/>
    <mergeCell ref="AD3:AD5"/>
    <mergeCell ref="F39:G39"/>
    <mergeCell ref="N2:Q2"/>
    <mergeCell ref="U2:X2"/>
    <mergeCell ref="N3:N5"/>
    <mergeCell ref="R3:R5"/>
    <mergeCell ref="S3:S5"/>
    <mergeCell ref="U3:U5"/>
    <mergeCell ref="N12:N14"/>
    <mergeCell ref="R12:R14"/>
    <mergeCell ref="S12:S14"/>
    <mergeCell ref="N9:N11"/>
    <mergeCell ref="R9:R11"/>
    <mergeCell ref="S9:S11"/>
    <mergeCell ref="U9:U11"/>
    <mergeCell ref="N18:N20"/>
    <mergeCell ref="R18:R20"/>
  </mergeCells>
  <phoneticPr fontId="2" type="noConversion"/>
  <conditionalFormatting sqref="S3:S5">
    <cfRule type="cellIs" priority="1" operator="equal">
      <formula>#REF!</formula>
    </cfRule>
  </conditionalFormatting>
  <conditionalFormatting sqref="S3:T11">
    <cfRule type="colorScale" priority="3">
      <colorScale>
        <cfvo type="min"/>
        <cfvo type="max"/>
        <color rgb="FF63BE7B"/>
        <color rgb="FFFFEF9C"/>
      </colorScale>
    </cfRule>
  </conditionalFormatting>
  <conditionalFormatting sqref="S12:T20">
    <cfRule type="colorScale" priority="2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589F9-3B42-44EB-A578-B7C2732F4C77}">
  <dimension ref="A2:AF71"/>
  <sheetViews>
    <sheetView topLeftCell="A29" zoomScale="85" zoomScaleNormal="85" workbookViewId="0">
      <selection activeCell="G51" sqref="G51"/>
    </sheetView>
  </sheetViews>
  <sheetFormatPr defaultRowHeight="14.5" x14ac:dyDescent="0.35"/>
  <cols>
    <col min="1" max="1" width="12.26953125" customWidth="1"/>
    <col min="6" max="6" width="16" customWidth="1"/>
    <col min="7" max="7" width="10.81640625" customWidth="1"/>
    <col min="8" max="8" width="10.26953125" bestFit="1" customWidth="1"/>
    <col min="9" max="9" width="10.26953125" customWidth="1"/>
    <col min="10" max="12" width="11.453125" customWidth="1"/>
    <col min="13" max="13" width="9.1796875" customWidth="1"/>
    <col min="15" max="30" width="0" hidden="1" customWidth="1"/>
  </cols>
  <sheetData>
    <row r="2" spans="1:32" x14ac:dyDescent="0.35">
      <c r="A2" t="s">
        <v>41</v>
      </c>
      <c r="B2" t="s">
        <v>42</v>
      </c>
      <c r="C2" t="s">
        <v>43</v>
      </c>
      <c r="D2" t="s">
        <v>44</v>
      </c>
      <c r="F2" t="s">
        <v>41</v>
      </c>
      <c r="G2" t="s">
        <v>42</v>
      </c>
      <c r="H2" t="s">
        <v>43</v>
      </c>
      <c r="I2" t="s">
        <v>44</v>
      </c>
      <c r="J2" t="s">
        <v>54</v>
      </c>
      <c r="K2" t="s">
        <v>93</v>
      </c>
      <c r="L2" t="s">
        <v>92</v>
      </c>
      <c r="N2" s="102" t="s">
        <v>254</v>
      </c>
      <c r="O2" s="102"/>
      <c r="P2" s="102"/>
      <c r="Q2" s="102"/>
      <c r="R2" s="76" t="s">
        <v>239</v>
      </c>
      <c r="S2" s="28"/>
      <c r="T2" s="28"/>
      <c r="U2" s="102" t="s">
        <v>254</v>
      </c>
      <c r="V2" s="102"/>
      <c r="W2" s="102"/>
      <c r="X2" s="102"/>
      <c r="Y2" s="76" t="s">
        <v>239</v>
      </c>
      <c r="Z2" s="29" t="s">
        <v>247</v>
      </c>
      <c r="AA2" s="29" t="s">
        <v>248</v>
      </c>
      <c r="AB2" s="29" t="s">
        <v>249</v>
      </c>
      <c r="AC2" s="29" t="s">
        <v>250</v>
      </c>
      <c r="AD2" s="29" t="s">
        <v>251</v>
      </c>
      <c r="AE2" s="65" t="s">
        <v>252</v>
      </c>
      <c r="AF2" s="77" t="s">
        <v>253</v>
      </c>
    </row>
    <row r="3" spans="1:32" x14ac:dyDescent="0.35">
      <c r="A3" t="s">
        <v>45</v>
      </c>
      <c r="B3">
        <v>42</v>
      </c>
      <c r="C3">
        <v>41</v>
      </c>
      <c r="D3">
        <v>42.5</v>
      </c>
      <c r="F3" t="s">
        <v>45</v>
      </c>
      <c r="G3">
        <f>Table26[[#This Row],[U1]]</f>
        <v>42</v>
      </c>
      <c r="H3">
        <f>Table26[[#This Row],[U2]]</f>
        <v>41</v>
      </c>
      <c r="I3">
        <f>Table26[[#This Row],[U3]]</f>
        <v>42.5</v>
      </c>
      <c r="J3" s="5">
        <f>SUM(Table27[[#This Row],[U1]:[U3]])</f>
        <v>125.5</v>
      </c>
      <c r="K3" s="4">
        <f>AVERAGE(Table27[[#This Row],[U1]:[U3]])</f>
        <v>41.833333333333336</v>
      </c>
      <c r="L3" s="2">
        <f>_xlfn.STDEV.P(Table27[[#This Row],[U1]:[U3]])</f>
        <v>0.62360956446232352</v>
      </c>
      <c r="N3" s="103" t="s">
        <v>69</v>
      </c>
      <c r="O3" s="56">
        <v>42</v>
      </c>
      <c r="P3" s="56">
        <v>41</v>
      </c>
      <c r="Q3" s="57">
        <v>42.5</v>
      </c>
      <c r="R3" s="106">
        <f>SUM(O3:Q5)</f>
        <v>376.5</v>
      </c>
      <c r="S3" s="106">
        <f>AVERAGE(O3:Q5)</f>
        <v>41.833333333333336</v>
      </c>
      <c r="T3" s="62"/>
      <c r="U3" s="103" t="s">
        <v>232</v>
      </c>
      <c r="V3" s="64">
        <f>O3^2</f>
        <v>1764</v>
      </c>
      <c r="W3" s="64">
        <f t="shared" ref="W3:X20" si="0">P3^2</f>
        <v>1681</v>
      </c>
      <c r="X3" s="64">
        <f t="shared" si="0"/>
        <v>1806.25</v>
      </c>
      <c r="Y3" s="106">
        <f>SUM(V3:X5)</f>
        <v>15757.75</v>
      </c>
      <c r="Z3" s="106">
        <f>Y3*9</f>
        <v>141819.75</v>
      </c>
      <c r="AA3" s="106">
        <f>R3^2</f>
        <v>141752.25</v>
      </c>
      <c r="AB3" s="106">
        <f>Z3-AA3</f>
        <v>67.5</v>
      </c>
      <c r="AC3" s="106">
        <f>AB3/8</f>
        <v>8.4375</v>
      </c>
      <c r="AD3" s="106">
        <f>SQRT(AC3)</f>
        <v>2.9047375096555625</v>
      </c>
      <c r="AE3" s="106">
        <f>(1/9)*AD3</f>
        <v>0.3227486121839514</v>
      </c>
      <c r="AF3" s="109">
        <f>AE3/S3</f>
        <v>7.7151062673454516E-3</v>
      </c>
    </row>
    <row r="4" spans="1:32" x14ac:dyDescent="0.35">
      <c r="A4" t="s">
        <v>46</v>
      </c>
      <c r="B4">
        <v>41</v>
      </c>
      <c r="C4">
        <v>41</v>
      </c>
      <c r="D4">
        <v>40</v>
      </c>
      <c r="F4" t="s">
        <v>46</v>
      </c>
      <c r="G4">
        <f>Table26[[#This Row],[U1]]</f>
        <v>41</v>
      </c>
      <c r="H4">
        <f>Table26[[#This Row],[U2]]</f>
        <v>41</v>
      </c>
      <c r="I4">
        <f>Table26[[#This Row],[U3]]</f>
        <v>40</v>
      </c>
      <c r="J4" s="5">
        <f>SUM(Table27[[#This Row],[U1]:[U3]])</f>
        <v>122</v>
      </c>
      <c r="K4" s="4">
        <f>AVERAGE(Table27[[#This Row],[U1]:[U3]])</f>
        <v>40.666666666666664</v>
      </c>
      <c r="L4" s="2">
        <f>_xlfn.STDEV.P(Table27[[#This Row],[U1]:[U3]])</f>
        <v>0.47140452079103168</v>
      </c>
      <c r="N4" s="104"/>
      <c r="O4" s="58">
        <v>43</v>
      </c>
      <c r="P4" s="58">
        <v>40</v>
      </c>
      <c r="Q4" s="59">
        <v>43</v>
      </c>
      <c r="R4" s="107"/>
      <c r="S4" s="107"/>
      <c r="T4" s="62"/>
      <c r="U4" s="104"/>
      <c r="V4" s="28">
        <f t="shared" ref="V4:V20" si="1">O4^2</f>
        <v>1849</v>
      </c>
      <c r="W4" s="28">
        <f t="shared" si="0"/>
        <v>1600</v>
      </c>
      <c r="X4" s="28">
        <f t="shared" si="0"/>
        <v>1849</v>
      </c>
      <c r="Y4" s="107"/>
      <c r="Z4" s="107"/>
      <c r="AA4" s="107"/>
      <c r="AB4" s="107"/>
      <c r="AC4" s="107"/>
      <c r="AD4" s="107"/>
      <c r="AE4" s="107"/>
      <c r="AF4" s="110"/>
    </row>
    <row r="5" spans="1:32" x14ac:dyDescent="0.35">
      <c r="A5" t="s">
        <v>47</v>
      </c>
      <c r="B5">
        <v>38</v>
      </c>
      <c r="C5">
        <v>38</v>
      </c>
      <c r="D5">
        <v>40</v>
      </c>
      <c r="F5" t="s">
        <v>47</v>
      </c>
      <c r="G5">
        <f>Table26[[#This Row],[U1]]</f>
        <v>38</v>
      </c>
      <c r="H5">
        <f>Table26[[#This Row],[U2]]</f>
        <v>38</v>
      </c>
      <c r="I5">
        <f>Table26[[#This Row],[U3]]</f>
        <v>40</v>
      </c>
      <c r="J5" s="5">
        <f>SUM(Table27[[#This Row],[U1]:[U3]])</f>
        <v>116</v>
      </c>
      <c r="K5" s="4">
        <f>AVERAGE(Table27[[#This Row],[U1]:[U3]])</f>
        <v>38.666666666666664</v>
      </c>
      <c r="L5" s="2">
        <f>_xlfn.STDEV.P(Table27[[#This Row],[U1]:[U3]])</f>
        <v>0.94280904158206336</v>
      </c>
      <c r="N5" s="105"/>
      <c r="O5" s="56">
        <v>41.5</v>
      </c>
      <c r="P5" s="56">
        <v>41.5</v>
      </c>
      <c r="Q5" s="57">
        <v>42</v>
      </c>
      <c r="R5" s="108"/>
      <c r="S5" s="108"/>
      <c r="T5" s="62"/>
      <c r="U5" s="105"/>
      <c r="V5" s="63">
        <f t="shared" si="1"/>
        <v>1722.25</v>
      </c>
      <c r="W5" s="63">
        <f t="shared" si="0"/>
        <v>1722.25</v>
      </c>
      <c r="X5" s="63">
        <f t="shared" si="0"/>
        <v>1764</v>
      </c>
      <c r="Y5" s="108"/>
      <c r="Z5" s="108"/>
      <c r="AA5" s="108"/>
      <c r="AB5" s="108"/>
      <c r="AC5" s="108"/>
      <c r="AD5" s="108"/>
      <c r="AE5" s="108"/>
      <c r="AF5" s="111"/>
    </row>
    <row r="6" spans="1:32" x14ac:dyDescent="0.35">
      <c r="A6" t="s">
        <v>48</v>
      </c>
      <c r="B6">
        <v>43</v>
      </c>
      <c r="C6">
        <v>40</v>
      </c>
      <c r="D6">
        <v>43</v>
      </c>
      <c r="F6" t="s">
        <v>48</v>
      </c>
      <c r="G6">
        <f>Table26[[#This Row],[U1]]</f>
        <v>43</v>
      </c>
      <c r="H6">
        <f>Table26[[#This Row],[U2]]</f>
        <v>40</v>
      </c>
      <c r="I6">
        <f>Table26[[#This Row],[U3]]</f>
        <v>43</v>
      </c>
      <c r="J6" s="5">
        <f>SUM(Table27[[#This Row],[U1]:[U3]])</f>
        <v>126</v>
      </c>
      <c r="K6" s="4">
        <f>AVERAGE(Table27[[#This Row],[U1]:[U3]])</f>
        <v>42</v>
      </c>
      <c r="L6" s="2">
        <f>_xlfn.STDEV.P(Table27[[#This Row],[U1]:[U3]])</f>
        <v>1.4142135623730951</v>
      </c>
      <c r="N6" s="104" t="s">
        <v>70</v>
      </c>
      <c r="O6" s="58">
        <v>41</v>
      </c>
      <c r="P6" s="58">
        <v>41</v>
      </c>
      <c r="Q6" s="59">
        <v>40</v>
      </c>
      <c r="R6" s="106">
        <f>SUM(O6:Q8)</f>
        <v>366.5</v>
      </c>
      <c r="S6" s="106">
        <f>AVERAGE(O6:Q8)</f>
        <v>40.722222222222221</v>
      </c>
      <c r="T6" s="62"/>
      <c r="U6" s="104" t="s">
        <v>233</v>
      </c>
      <c r="V6" s="64">
        <f t="shared" si="1"/>
        <v>1681</v>
      </c>
      <c r="W6" s="64">
        <f t="shared" si="0"/>
        <v>1681</v>
      </c>
      <c r="X6" s="64">
        <f t="shared" si="0"/>
        <v>1600</v>
      </c>
      <c r="Y6" s="106">
        <f>SUM(V6:X8)</f>
        <v>14926.75</v>
      </c>
      <c r="Z6" s="106">
        <f t="shared" ref="Z6" si="2">Y6*9</f>
        <v>134340.75</v>
      </c>
      <c r="AA6" s="106">
        <f>R6^2</f>
        <v>134322.25</v>
      </c>
      <c r="AB6" s="106">
        <f t="shared" ref="AB6" si="3">Z6-AA6</f>
        <v>18.5</v>
      </c>
      <c r="AC6" s="106">
        <f t="shared" ref="AC6" si="4">AB6/8</f>
        <v>2.3125</v>
      </c>
      <c r="AD6" s="106">
        <f t="shared" ref="AD6" si="5">SQRT(AC6)</f>
        <v>1.5206906325745548</v>
      </c>
      <c r="AE6" s="106">
        <f t="shared" ref="AE6" si="6">(1/9)*AD6</f>
        <v>0.1689656258416172</v>
      </c>
      <c r="AF6" s="109">
        <f>AE6/S6</f>
        <v>4.1492240997941469E-3</v>
      </c>
    </row>
    <row r="7" spans="1:32" x14ac:dyDescent="0.35">
      <c r="A7" t="s">
        <v>49</v>
      </c>
      <c r="B7">
        <v>40</v>
      </c>
      <c r="C7">
        <v>40.5</v>
      </c>
      <c r="D7">
        <v>40.5</v>
      </c>
      <c r="F7" t="s">
        <v>49</v>
      </c>
      <c r="G7">
        <f>Table26[[#This Row],[U1]]</f>
        <v>40</v>
      </c>
      <c r="H7">
        <f>Table26[[#This Row],[U2]]</f>
        <v>40.5</v>
      </c>
      <c r="I7">
        <f>Table26[[#This Row],[U3]]</f>
        <v>40.5</v>
      </c>
      <c r="J7" s="5">
        <f>SUM(Table27[[#This Row],[U1]:[U3]])</f>
        <v>121</v>
      </c>
      <c r="K7" s="4">
        <f>AVERAGE(Table27[[#This Row],[U1]:[U3]])</f>
        <v>40.333333333333336</v>
      </c>
      <c r="L7" s="2">
        <f>_xlfn.STDEV.P(Table27[[#This Row],[U1]:[U3]])</f>
        <v>0.23570226039551584</v>
      </c>
      <c r="N7" s="104"/>
      <c r="O7" s="56">
        <v>40</v>
      </c>
      <c r="P7" s="56">
        <v>40.5</v>
      </c>
      <c r="Q7" s="57">
        <v>40.5</v>
      </c>
      <c r="R7" s="107"/>
      <c r="S7" s="107"/>
      <c r="T7" s="62"/>
      <c r="U7" s="104"/>
      <c r="V7" s="28">
        <f t="shared" si="1"/>
        <v>1600</v>
      </c>
      <c r="W7" s="28">
        <f t="shared" si="0"/>
        <v>1640.25</v>
      </c>
      <c r="X7" s="28">
        <f t="shared" si="0"/>
        <v>1640.25</v>
      </c>
      <c r="Y7" s="107"/>
      <c r="Z7" s="107"/>
      <c r="AA7" s="107"/>
      <c r="AB7" s="107"/>
      <c r="AC7" s="107"/>
      <c r="AD7" s="107"/>
      <c r="AE7" s="107"/>
      <c r="AF7" s="110"/>
    </row>
    <row r="8" spans="1:32" x14ac:dyDescent="0.35">
      <c r="A8" t="s">
        <v>50</v>
      </c>
      <c r="B8">
        <v>40</v>
      </c>
      <c r="C8">
        <v>40</v>
      </c>
      <c r="D8">
        <v>39</v>
      </c>
      <c r="F8" t="s">
        <v>50</v>
      </c>
      <c r="G8">
        <f>Table26[[#This Row],[U1]]</f>
        <v>40</v>
      </c>
      <c r="H8">
        <f>Table26[[#This Row],[U2]]</f>
        <v>40</v>
      </c>
      <c r="I8">
        <f>Table26[[#This Row],[U3]]</f>
        <v>39</v>
      </c>
      <c r="J8" s="5">
        <f>SUM(Table27[[#This Row],[U1]:[U3]])</f>
        <v>119</v>
      </c>
      <c r="K8" s="4">
        <f>AVERAGE(Table27[[#This Row],[U1]:[U3]])</f>
        <v>39.666666666666664</v>
      </c>
      <c r="L8" s="2">
        <f>_xlfn.STDEV.P(Table27[[#This Row],[U1]:[U3]])</f>
        <v>0.47140452079103168</v>
      </c>
      <c r="N8" s="105"/>
      <c r="O8" s="58">
        <v>41.5</v>
      </c>
      <c r="P8" s="58">
        <v>41</v>
      </c>
      <c r="Q8" s="59">
        <v>41</v>
      </c>
      <c r="R8" s="108"/>
      <c r="S8" s="108"/>
      <c r="T8" s="62"/>
      <c r="U8" s="105"/>
      <c r="V8" s="63">
        <f t="shared" si="1"/>
        <v>1722.25</v>
      </c>
      <c r="W8" s="63">
        <f t="shared" si="0"/>
        <v>1681</v>
      </c>
      <c r="X8" s="63">
        <f t="shared" si="0"/>
        <v>1681</v>
      </c>
      <c r="Y8" s="108"/>
      <c r="Z8" s="108"/>
      <c r="AA8" s="108"/>
      <c r="AB8" s="108"/>
      <c r="AC8" s="108"/>
      <c r="AD8" s="108"/>
      <c r="AE8" s="108"/>
      <c r="AF8" s="111"/>
    </row>
    <row r="9" spans="1:32" x14ac:dyDescent="0.35">
      <c r="A9" t="s">
        <v>51</v>
      </c>
      <c r="B9">
        <v>41.5</v>
      </c>
      <c r="C9">
        <v>41.5</v>
      </c>
      <c r="D9">
        <v>42</v>
      </c>
      <c r="F9" t="s">
        <v>51</v>
      </c>
      <c r="G9">
        <f>Table26[[#This Row],[U1]]</f>
        <v>41.5</v>
      </c>
      <c r="H9">
        <f>Table26[[#This Row],[U2]]</f>
        <v>41.5</v>
      </c>
      <c r="I9">
        <f>Table26[[#This Row],[U3]]</f>
        <v>42</v>
      </c>
      <c r="J9" s="5">
        <f>SUM(Table27[[#This Row],[U1]:[U3]])</f>
        <v>125</v>
      </c>
      <c r="K9" s="4">
        <f>AVERAGE(Table27[[#This Row],[U1]:[U3]])</f>
        <v>41.666666666666664</v>
      </c>
      <c r="L9" s="2">
        <f>_xlfn.STDEV.P(Table27[[#This Row],[U1]:[U3]])</f>
        <v>0.23570226039551584</v>
      </c>
      <c r="N9" s="104" t="s">
        <v>71</v>
      </c>
      <c r="O9" s="56">
        <v>38</v>
      </c>
      <c r="P9" s="56">
        <v>38</v>
      </c>
      <c r="Q9" s="57">
        <v>40</v>
      </c>
      <c r="R9" s="106">
        <f>SUM(O9:Q11)</f>
        <v>358</v>
      </c>
      <c r="S9" s="106">
        <f>AVERAGE(O9:Q11)</f>
        <v>39.777777777777779</v>
      </c>
      <c r="T9" s="62"/>
      <c r="U9" s="104" t="s">
        <v>234</v>
      </c>
      <c r="V9" s="64">
        <f t="shared" si="1"/>
        <v>1444</v>
      </c>
      <c r="W9" s="64">
        <f t="shared" si="0"/>
        <v>1444</v>
      </c>
      <c r="X9" s="64">
        <f t="shared" si="0"/>
        <v>1600</v>
      </c>
      <c r="Y9" s="106">
        <f>SUM(V9:X11)</f>
        <v>14252</v>
      </c>
      <c r="Z9" s="106">
        <f t="shared" ref="Z9" si="7">Y9*9</f>
        <v>128268</v>
      </c>
      <c r="AA9" s="106">
        <f>R9^2</f>
        <v>128164</v>
      </c>
      <c r="AB9" s="106">
        <f t="shared" ref="AB9" si="8">Z9-AA9</f>
        <v>104</v>
      </c>
      <c r="AC9" s="106">
        <f t="shared" ref="AC9" si="9">AB9/8</f>
        <v>13</v>
      </c>
      <c r="AD9" s="106">
        <f t="shared" ref="AD9" si="10">SQRT(AC9)</f>
        <v>3.6055512754639891</v>
      </c>
      <c r="AE9" s="106">
        <f t="shared" ref="AE9" si="11">(1/9)*AD9</f>
        <v>0.40061680838488767</v>
      </c>
      <c r="AF9" s="109">
        <f>AE9/S9</f>
        <v>1.0071372277832372E-2</v>
      </c>
    </row>
    <row r="10" spans="1:32" x14ac:dyDescent="0.35">
      <c r="A10" t="s">
        <v>52</v>
      </c>
      <c r="B10">
        <v>41.5</v>
      </c>
      <c r="C10">
        <v>41</v>
      </c>
      <c r="D10">
        <v>41</v>
      </c>
      <c r="F10" t="s">
        <v>52</v>
      </c>
      <c r="G10">
        <f>Table26[[#This Row],[U1]]</f>
        <v>41.5</v>
      </c>
      <c r="H10">
        <f>Table26[[#This Row],[U2]]</f>
        <v>41</v>
      </c>
      <c r="I10">
        <f>Table26[[#This Row],[U3]]</f>
        <v>41</v>
      </c>
      <c r="J10" s="5">
        <f>SUM(Table27[[#This Row],[U1]:[U3]])</f>
        <v>123.5</v>
      </c>
      <c r="K10" s="4">
        <f>AVERAGE(Table27[[#This Row],[U1]:[U3]])</f>
        <v>41.166666666666664</v>
      </c>
      <c r="L10" s="2">
        <f>_xlfn.STDEV.P(Table27[[#This Row],[U1]:[U3]])</f>
        <v>0.23570226039551584</v>
      </c>
      <c r="N10" s="104"/>
      <c r="O10" s="58">
        <v>40</v>
      </c>
      <c r="P10" s="58">
        <v>40</v>
      </c>
      <c r="Q10" s="59">
        <v>39</v>
      </c>
      <c r="R10" s="107"/>
      <c r="S10" s="107"/>
      <c r="T10" s="62"/>
      <c r="U10" s="104"/>
      <c r="V10" s="28">
        <f t="shared" si="1"/>
        <v>1600</v>
      </c>
      <c r="W10" s="28">
        <f t="shared" si="0"/>
        <v>1600</v>
      </c>
      <c r="X10" s="28">
        <f t="shared" si="0"/>
        <v>1521</v>
      </c>
      <c r="Y10" s="107"/>
      <c r="Z10" s="107"/>
      <c r="AA10" s="107"/>
      <c r="AB10" s="107"/>
      <c r="AC10" s="107"/>
      <c r="AD10" s="107"/>
      <c r="AE10" s="107"/>
      <c r="AF10" s="110"/>
    </row>
    <row r="11" spans="1:32" x14ac:dyDescent="0.35">
      <c r="A11" t="s">
        <v>52</v>
      </c>
      <c r="B11">
        <v>41</v>
      </c>
      <c r="C11">
        <v>41</v>
      </c>
      <c r="D11">
        <v>41</v>
      </c>
      <c r="F11" t="s">
        <v>53</v>
      </c>
      <c r="G11">
        <f>Table26[[#This Row],[U1]]</f>
        <v>41</v>
      </c>
      <c r="H11">
        <f>Table26[[#This Row],[U2]]</f>
        <v>41</v>
      </c>
      <c r="I11">
        <f>Table26[[#This Row],[U3]]</f>
        <v>41</v>
      </c>
      <c r="J11" s="5">
        <f>SUM(Table27[[#This Row],[U1]:[U3]])</f>
        <v>123</v>
      </c>
      <c r="K11" s="4">
        <f>AVERAGE(Table27[[#This Row],[U1]:[U3]])</f>
        <v>41</v>
      </c>
      <c r="L11" s="2">
        <f>_xlfn.STDEV.P(Table27[[#This Row],[U1]:[U3]])</f>
        <v>0</v>
      </c>
      <c r="N11" s="105"/>
      <c r="O11" s="60">
        <v>41</v>
      </c>
      <c r="P11" s="60">
        <v>41</v>
      </c>
      <c r="Q11" s="61">
        <v>41</v>
      </c>
      <c r="R11" s="108"/>
      <c r="S11" s="108"/>
      <c r="T11" s="62"/>
      <c r="U11" s="105"/>
      <c r="V11" s="63">
        <f t="shared" si="1"/>
        <v>1681</v>
      </c>
      <c r="W11" s="63">
        <f t="shared" si="0"/>
        <v>1681</v>
      </c>
      <c r="X11" s="63">
        <f t="shared" si="0"/>
        <v>1681</v>
      </c>
      <c r="Y11" s="108"/>
      <c r="Z11" s="108"/>
      <c r="AA11" s="108"/>
      <c r="AB11" s="108"/>
      <c r="AC11" s="108"/>
      <c r="AD11" s="108"/>
      <c r="AE11" s="108"/>
      <c r="AF11" s="111"/>
    </row>
    <row r="12" spans="1:32" x14ac:dyDescent="0.35">
      <c r="F12" t="s">
        <v>54</v>
      </c>
      <c r="G12">
        <f>SUM(G3:G11)</f>
        <v>368</v>
      </c>
      <c r="H12">
        <f>SUM(H3:H11)</f>
        <v>364</v>
      </c>
      <c r="I12">
        <f>SUM(I3:I11)</f>
        <v>369</v>
      </c>
      <c r="J12" s="5">
        <f>SUM(J3:J11)</f>
        <v>1101</v>
      </c>
      <c r="K12" s="4"/>
      <c r="L12" s="2"/>
      <c r="N12" s="104" t="s">
        <v>65</v>
      </c>
      <c r="O12" s="56">
        <v>42</v>
      </c>
      <c r="P12" s="56">
        <v>41</v>
      </c>
      <c r="Q12" s="57">
        <v>42.5</v>
      </c>
      <c r="R12" s="106">
        <f>SUM(O12:Q14)</f>
        <v>363.5</v>
      </c>
      <c r="S12" s="106">
        <f>AVERAGE(O12:Q14)</f>
        <v>40.388888888888886</v>
      </c>
      <c r="T12" s="62"/>
      <c r="U12" s="104" t="s">
        <v>236</v>
      </c>
      <c r="V12" s="64">
        <f t="shared" si="1"/>
        <v>1764</v>
      </c>
      <c r="W12" s="64">
        <f t="shared" si="0"/>
        <v>1681</v>
      </c>
      <c r="X12" s="64">
        <f t="shared" si="0"/>
        <v>1806.25</v>
      </c>
      <c r="Y12" s="106">
        <f>SUM(V12:X14)</f>
        <v>14701.25</v>
      </c>
      <c r="Z12" s="106">
        <f t="shared" ref="Z12" si="12">Y12*9</f>
        <v>132311.25</v>
      </c>
      <c r="AA12" s="106">
        <f>R12^2</f>
        <v>132132.25</v>
      </c>
      <c r="AB12" s="106">
        <f t="shared" ref="AB12" si="13">Z12-AA12</f>
        <v>179</v>
      </c>
      <c r="AC12" s="106">
        <f t="shared" ref="AC12" si="14">AB12/8</f>
        <v>22.375</v>
      </c>
      <c r="AD12" s="106">
        <f t="shared" ref="AD12" si="15">SQRT(AC12)</f>
        <v>4.7302219821061255</v>
      </c>
      <c r="AE12" s="106">
        <f t="shared" ref="AE12" si="16">(1/9)*AD12</f>
        <v>0.52558022023401396</v>
      </c>
      <c r="AF12" s="109">
        <f>AE12/S12</f>
        <v>1.3012990322162658E-2</v>
      </c>
    </row>
    <row r="13" spans="1:32" x14ac:dyDescent="0.35">
      <c r="F13" t="s">
        <v>93</v>
      </c>
      <c r="G13" s="4">
        <f>AVERAGE(G3:G11)</f>
        <v>40.888888888888886</v>
      </c>
      <c r="H13" s="4">
        <f>AVERAGE(H3:H11)</f>
        <v>40.444444444444443</v>
      </c>
      <c r="I13" s="4">
        <f>AVERAGE(I3:I11)</f>
        <v>41</v>
      </c>
      <c r="J13" s="5"/>
      <c r="K13" s="4"/>
      <c r="L13" s="2"/>
      <c r="N13" s="104"/>
      <c r="O13" s="58">
        <v>41</v>
      </c>
      <c r="P13" s="58">
        <v>41</v>
      </c>
      <c r="Q13" s="59">
        <v>40</v>
      </c>
      <c r="R13" s="107"/>
      <c r="S13" s="107"/>
      <c r="T13" s="62"/>
      <c r="U13" s="104"/>
      <c r="V13" s="28">
        <f t="shared" si="1"/>
        <v>1681</v>
      </c>
      <c r="W13" s="28">
        <f t="shared" si="0"/>
        <v>1681</v>
      </c>
      <c r="X13" s="28">
        <f t="shared" si="0"/>
        <v>1600</v>
      </c>
      <c r="Y13" s="107"/>
      <c r="Z13" s="107"/>
      <c r="AA13" s="107"/>
      <c r="AB13" s="107"/>
      <c r="AC13" s="107"/>
      <c r="AD13" s="107"/>
      <c r="AE13" s="107"/>
      <c r="AF13" s="110"/>
    </row>
    <row r="14" spans="1:32" x14ac:dyDescent="0.35">
      <c r="N14" s="105"/>
      <c r="O14" s="56">
        <v>38</v>
      </c>
      <c r="P14" s="56">
        <v>38</v>
      </c>
      <c r="Q14" s="57">
        <v>40</v>
      </c>
      <c r="R14" s="108"/>
      <c r="S14" s="108"/>
      <c r="T14" s="62"/>
      <c r="U14" s="105"/>
      <c r="V14" s="63">
        <f t="shared" si="1"/>
        <v>1444</v>
      </c>
      <c r="W14" s="63">
        <f t="shared" si="0"/>
        <v>1444</v>
      </c>
      <c r="X14" s="63">
        <f t="shared" si="0"/>
        <v>1600</v>
      </c>
      <c r="Y14" s="108"/>
      <c r="Z14" s="108"/>
      <c r="AA14" s="108"/>
      <c r="AB14" s="108"/>
      <c r="AC14" s="108"/>
      <c r="AD14" s="108"/>
      <c r="AE14" s="108"/>
      <c r="AF14" s="111"/>
    </row>
    <row r="15" spans="1:32" x14ac:dyDescent="0.35">
      <c r="F15" s="67" t="s">
        <v>58</v>
      </c>
      <c r="G15" s="68">
        <f>(J12^2)/(J15*J16)</f>
        <v>44896.333333333336</v>
      </c>
      <c r="I15" t="s">
        <v>63</v>
      </c>
      <c r="J15">
        <v>9</v>
      </c>
      <c r="K15" s="67" t="s">
        <v>245</v>
      </c>
      <c r="L15" s="69">
        <f>(SUMSQ(J23:J25)/(J15))-G15</f>
        <v>3.7222222222189885</v>
      </c>
      <c r="N15" s="104" t="s">
        <v>66</v>
      </c>
      <c r="O15" s="58">
        <v>43</v>
      </c>
      <c r="P15" s="58">
        <v>40</v>
      </c>
      <c r="Q15" s="59">
        <v>43</v>
      </c>
      <c r="R15" s="106">
        <f>SUM(O15:Q17)</f>
        <v>366</v>
      </c>
      <c r="S15" s="106">
        <f>AVERAGE(O15:Q17)</f>
        <v>40.666666666666664</v>
      </c>
      <c r="T15" s="62"/>
      <c r="U15" s="104" t="s">
        <v>237</v>
      </c>
      <c r="V15" s="64">
        <f t="shared" si="1"/>
        <v>1849</v>
      </c>
      <c r="W15" s="64">
        <f t="shared" si="0"/>
        <v>1600</v>
      </c>
      <c r="X15" s="64">
        <f t="shared" si="0"/>
        <v>1849</v>
      </c>
      <c r="Y15" s="106">
        <f>SUM(V15:X17)</f>
        <v>14899.5</v>
      </c>
      <c r="Z15" s="106">
        <f t="shared" ref="Z15" si="17">Y15*9</f>
        <v>134095.5</v>
      </c>
      <c r="AA15" s="106">
        <f>R15^2</f>
        <v>133956</v>
      </c>
      <c r="AB15" s="106">
        <f t="shared" ref="AB15" si="18">Z15-AA15</f>
        <v>139.5</v>
      </c>
      <c r="AC15" s="106">
        <f t="shared" ref="AC15" si="19">AB15/8</f>
        <v>17.4375</v>
      </c>
      <c r="AD15" s="106">
        <f t="shared" ref="AD15" si="20">SQRT(AC15)</f>
        <v>4.1758232721225168</v>
      </c>
      <c r="AE15" s="106">
        <f t="shared" ref="AE15" si="21">(1/9)*AD15</f>
        <v>0.4639803635691685</v>
      </c>
      <c r="AF15" s="109">
        <f>AE15/S15</f>
        <v>1.1409353202520537E-2</v>
      </c>
    </row>
    <row r="16" spans="1:32" x14ac:dyDescent="0.35">
      <c r="F16" s="67" t="s">
        <v>59</v>
      </c>
      <c r="G16" s="31">
        <f>(SUMSQ(G3:I11))-G15</f>
        <v>40.166666666664241</v>
      </c>
      <c r="I16" t="s">
        <v>64</v>
      </c>
      <c r="J16">
        <v>3</v>
      </c>
      <c r="K16" s="67" t="s">
        <v>246</v>
      </c>
      <c r="L16" s="69">
        <f>(SUMSQ(G26:I26)/(J15))-G15</f>
        <v>19.055555555554747</v>
      </c>
      <c r="N16" s="104"/>
      <c r="O16" s="56">
        <v>40</v>
      </c>
      <c r="P16" s="56">
        <v>40.5</v>
      </c>
      <c r="Q16" s="57">
        <v>40.5</v>
      </c>
      <c r="R16" s="107"/>
      <c r="S16" s="107"/>
      <c r="T16" s="62"/>
      <c r="U16" s="104"/>
      <c r="V16" s="28">
        <f t="shared" si="1"/>
        <v>1600</v>
      </c>
      <c r="W16" s="28">
        <f t="shared" si="0"/>
        <v>1640.25</v>
      </c>
      <c r="X16" s="28">
        <f t="shared" si="0"/>
        <v>1640.25</v>
      </c>
      <c r="Y16" s="107"/>
      <c r="Z16" s="107"/>
      <c r="AA16" s="107"/>
      <c r="AB16" s="107"/>
      <c r="AC16" s="107"/>
      <c r="AD16" s="107"/>
      <c r="AE16" s="107"/>
      <c r="AF16" s="110"/>
    </row>
    <row r="17" spans="6:32" x14ac:dyDescent="0.35">
      <c r="F17" s="67" t="s">
        <v>60</v>
      </c>
      <c r="G17" s="31">
        <f>(SUMSQ(G12:I12)/J15)-G15</f>
        <v>1.5555555555547471</v>
      </c>
      <c r="K17" s="67" t="s">
        <v>244</v>
      </c>
      <c r="L17" s="69">
        <f>G18-L16-L15</f>
        <v>5.7222222222262644</v>
      </c>
      <c r="N17" s="105"/>
      <c r="O17" s="58">
        <v>40</v>
      </c>
      <c r="P17" s="58">
        <v>40</v>
      </c>
      <c r="Q17" s="59">
        <v>39</v>
      </c>
      <c r="R17" s="108"/>
      <c r="S17" s="108"/>
      <c r="T17" s="62"/>
      <c r="U17" s="105"/>
      <c r="V17" s="63">
        <f t="shared" si="1"/>
        <v>1600</v>
      </c>
      <c r="W17" s="63">
        <f t="shared" si="0"/>
        <v>1600</v>
      </c>
      <c r="X17" s="63">
        <f t="shared" si="0"/>
        <v>1521</v>
      </c>
      <c r="Y17" s="108"/>
      <c r="Z17" s="108"/>
      <c r="AA17" s="108"/>
      <c r="AB17" s="108"/>
      <c r="AC17" s="108"/>
      <c r="AD17" s="108"/>
      <c r="AE17" s="108"/>
      <c r="AF17" s="111"/>
    </row>
    <row r="18" spans="6:32" x14ac:dyDescent="0.35">
      <c r="F18" s="67" t="s">
        <v>61</v>
      </c>
      <c r="G18" s="31">
        <f>(SUMSQ(J3:J11)/J16)-G15</f>
        <v>28.5</v>
      </c>
      <c r="N18" s="104" t="s">
        <v>67</v>
      </c>
      <c r="O18" s="56">
        <v>41.5</v>
      </c>
      <c r="P18" s="56">
        <v>41.5</v>
      </c>
      <c r="Q18" s="57">
        <v>42</v>
      </c>
      <c r="R18" s="106">
        <f>SUM(O18:Q20)</f>
        <v>371.5</v>
      </c>
      <c r="S18" s="106">
        <f>AVERAGE(O18:Q20)</f>
        <v>41.277777777777779</v>
      </c>
      <c r="T18" s="62"/>
      <c r="U18" s="104" t="s">
        <v>238</v>
      </c>
      <c r="V18" s="64">
        <f t="shared" si="1"/>
        <v>1722.25</v>
      </c>
      <c r="W18" s="64">
        <f t="shared" si="0"/>
        <v>1722.25</v>
      </c>
      <c r="X18" s="64">
        <f t="shared" si="0"/>
        <v>1764</v>
      </c>
      <c r="Y18" s="106">
        <f>SUM(V18:X20)</f>
        <v>15335.75</v>
      </c>
      <c r="Z18" s="106">
        <f t="shared" ref="Z18" si="22">Y18*9</f>
        <v>138021.75</v>
      </c>
      <c r="AA18" s="106">
        <f>R18^2</f>
        <v>138012.25</v>
      </c>
      <c r="AB18" s="106">
        <f t="shared" ref="AB18" si="23">Z18-AA18</f>
        <v>9.5</v>
      </c>
      <c r="AC18" s="106">
        <f t="shared" ref="AC18" si="24">AB18/8</f>
        <v>1.1875</v>
      </c>
      <c r="AD18" s="106">
        <f t="shared" ref="AD18" si="25">SQRT(AC18)</f>
        <v>1.0897247358851685</v>
      </c>
      <c r="AE18" s="106">
        <f t="shared" ref="AE18" si="26">(1/9)*AD18</f>
        <v>0.12108052620946316</v>
      </c>
      <c r="AF18" s="109">
        <f>AE18/S18</f>
        <v>2.9333101908079902E-3</v>
      </c>
    </row>
    <row r="19" spans="6:32" x14ac:dyDescent="0.35">
      <c r="F19" s="67" t="s">
        <v>62</v>
      </c>
      <c r="G19" s="31">
        <f>G16-G17-G18</f>
        <v>10.111111111109494</v>
      </c>
      <c r="N19" s="104"/>
      <c r="O19" s="58">
        <v>41.5</v>
      </c>
      <c r="P19" s="58">
        <v>41</v>
      </c>
      <c r="Q19" s="59">
        <v>41</v>
      </c>
      <c r="R19" s="107"/>
      <c r="S19" s="107"/>
      <c r="T19" s="62"/>
      <c r="U19" s="104"/>
      <c r="V19" s="28">
        <f t="shared" si="1"/>
        <v>1722.25</v>
      </c>
      <c r="W19" s="28">
        <f t="shared" si="0"/>
        <v>1681</v>
      </c>
      <c r="X19" s="28">
        <f t="shared" si="0"/>
        <v>1681</v>
      </c>
      <c r="Y19" s="107"/>
      <c r="Z19" s="107"/>
      <c r="AA19" s="107"/>
      <c r="AB19" s="107"/>
      <c r="AC19" s="107"/>
      <c r="AD19" s="107"/>
      <c r="AE19" s="107"/>
      <c r="AF19" s="110"/>
    </row>
    <row r="20" spans="6:32" x14ac:dyDescent="0.35">
      <c r="N20" s="105"/>
      <c r="O20" s="60">
        <v>41</v>
      </c>
      <c r="P20" s="60">
        <v>41</v>
      </c>
      <c r="Q20" s="61">
        <v>41</v>
      </c>
      <c r="R20" s="108"/>
      <c r="S20" s="108"/>
      <c r="T20" s="62"/>
      <c r="U20" s="105"/>
      <c r="V20" s="63">
        <f t="shared" si="1"/>
        <v>1681</v>
      </c>
      <c r="W20" s="63">
        <f t="shared" si="0"/>
        <v>1681</v>
      </c>
      <c r="X20" s="63">
        <f t="shared" si="0"/>
        <v>1681</v>
      </c>
      <c r="Y20" s="108"/>
      <c r="Z20" s="108"/>
      <c r="AA20" s="108"/>
      <c r="AB20" s="108"/>
      <c r="AC20" s="108"/>
      <c r="AD20" s="108"/>
      <c r="AE20" s="108"/>
      <c r="AF20" s="111"/>
    </row>
    <row r="21" spans="6:32" x14ac:dyDescent="0.35">
      <c r="F21" t="s">
        <v>91</v>
      </c>
    </row>
    <row r="22" spans="6:32" x14ac:dyDescent="0.35">
      <c r="F22" t="s">
        <v>41</v>
      </c>
      <c r="G22" t="s">
        <v>69</v>
      </c>
      <c r="H22" t="s">
        <v>70</v>
      </c>
      <c r="I22" t="s">
        <v>71</v>
      </c>
      <c r="J22" t="s">
        <v>54</v>
      </c>
      <c r="K22" t="s">
        <v>93</v>
      </c>
    </row>
    <row r="23" spans="6:32" x14ac:dyDescent="0.35">
      <c r="F23" t="s">
        <v>65</v>
      </c>
      <c r="G23" s="5">
        <f>J3</f>
        <v>125.5</v>
      </c>
      <c r="H23" s="5">
        <f>J4</f>
        <v>122</v>
      </c>
      <c r="I23" s="5">
        <f>J5</f>
        <v>116</v>
      </c>
      <c r="J23" s="5">
        <f>SUM(Table19[[#This Row],[S1]:[S3]])</f>
        <v>363.5</v>
      </c>
      <c r="K23" s="5">
        <f>Table19[[#This Row],[Total]]/9</f>
        <v>40.388888888888886</v>
      </c>
    </row>
    <row r="24" spans="6:32" x14ac:dyDescent="0.35">
      <c r="F24" t="s">
        <v>66</v>
      </c>
      <c r="G24" s="5">
        <f>J6</f>
        <v>126</v>
      </c>
      <c r="H24" s="5">
        <f>J7</f>
        <v>121</v>
      </c>
      <c r="I24" s="5">
        <f>J8</f>
        <v>119</v>
      </c>
      <c r="J24" s="5">
        <f>SUM(Table19[[#This Row],[S1]:[S3]])</f>
        <v>366</v>
      </c>
      <c r="K24" s="5">
        <f>Table19[[#This Row],[Total]]/9</f>
        <v>40.666666666666664</v>
      </c>
    </row>
    <row r="25" spans="6:32" x14ac:dyDescent="0.35">
      <c r="F25" t="s">
        <v>67</v>
      </c>
      <c r="G25" s="5">
        <f>J9</f>
        <v>125</v>
      </c>
      <c r="H25" s="5">
        <f>J10</f>
        <v>123.5</v>
      </c>
      <c r="I25" s="5">
        <f>J11</f>
        <v>123</v>
      </c>
      <c r="J25" s="5">
        <f>SUM(Table19[[#This Row],[S1]:[S3]])</f>
        <v>371.5</v>
      </c>
      <c r="K25" s="5">
        <f>Table19[[#This Row],[Total]]/9</f>
        <v>41.277777777777779</v>
      </c>
    </row>
    <row r="26" spans="6:32" x14ac:dyDescent="0.35">
      <c r="F26" t="s">
        <v>54</v>
      </c>
      <c r="G26" s="5">
        <f>SUM(G23:G25)</f>
        <v>376.5</v>
      </c>
      <c r="H26" s="5">
        <f t="shared" ref="H26:I26" si="27">SUM(H23:H25)</f>
        <v>366.5</v>
      </c>
      <c r="I26" s="5">
        <f t="shared" si="27"/>
        <v>358</v>
      </c>
      <c r="J26" s="5">
        <f>SUM(J23:J25)</f>
        <v>1101</v>
      </c>
      <c r="K26" s="5"/>
    </row>
    <row r="27" spans="6:32" x14ac:dyDescent="0.35">
      <c r="F27" t="s">
        <v>93</v>
      </c>
      <c r="G27" s="5">
        <f>G26/9</f>
        <v>41.833333333333336</v>
      </c>
      <c r="H27" s="5">
        <f t="shared" ref="H27:I27" si="28">H26/9</f>
        <v>40.722222222222221</v>
      </c>
      <c r="I27" s="5">
        <f t="shared" si="28"/>
        <v>39.777777777777779</v>
      </c>
      <c r="J27" s="5"/>
      <c r="K27" s="5"/>
    </row>
    <row r="28" spans="6:32" x14ac:dyDescent="0.35">
      <c r="G28" s="5"/>
      <c r="H28" s="5"/>
      <c r="I28" s="5"/>
      <c r="J28" s="5"/>
      <c r="K28" s="5"/>
    </row>
    <row r="29" spans="6:32" x14ac:dyDescent="0.35">
      <c r="F29" t="s">
        <v>73</v>
      </c>
    </row>
    <row r="30" spans="6:32" x14ac:dyDescent="0.35">
      <c r="F30" t="s">
        <v>74</v>
      </c>
      <c r="G30" t="s">
        <v>77</v>
      </c>
      <c r="H30" t="s">
        <v>78</v>
      </c>
      <c r="I30" t="s">
        <v>79</v>
      </c>
      <c r="J30" t="s">
        <v>80</v>
      </c>
      <c r="K30" t="s">
        <v>81</v>
      </c>
      <c r="L30" t="s">
        <v>82</v>
      </c>
      <c r="M30" t="s">
        <v>83</v>
      </c>
    </row>
    <row r="31" spans="6:32" x14ac:dyDescent="0.35">
      <c r="F31" t="s">
        <v>95</v>
      </c>
      <c r="G31">
        <v>2</v>
      </c>
      <c r="H31" s="3">
        <f>G17</f>
        <v>1.5555555555547471</v>
      </c>
      <c r="I31" s="3">
        <f>Table44[[#This Row],[J.K]]/Table44[[#This Row],[d.b]]</f>
        <v>0.77777777777737356</v>
      </c>
      <c r="J31" s="3">
        <f>I31/I36</f>
        <v>1.2307692307687879</v>
      </c>
      <c r="K31" s="3">
        <f t="shared" ref="K31:K32" si="29">FINV(0.05,G31,G36)</f>
        <v>3.6337234675916301</v>
      </c>
      <c r="L31" s="3">
        <f t="shared" ref="L31:L32" si="30">FINV(0.01,G31,G36)</f>
        <v>6.2262352803113821</v>
      </c>
      <c r="M31" t="str">
        <f t="shared" ref="M31:M35" si="31">IF(J31&lt;K31,"tidak berbeda nyata","berbeda nyata")</f>
        <v>tidak berbeda nyata</v>
      </c>
    </row>
    <row r="32" spans="6:32" x14ac:dyDescent="0.35">
      <c r="F32" s="79" t="s">
        <v>41</v>
      </c>
      <c r="G32" s="79">
        <v>8</v>
      </c>
      <c r="H32" s="80">
        <f>G18</f>
        <v>28.5</v>
      </c>
      <c r="I32" s="80">
        <f>Table44[[#This Row],[J.K]]/Table44[[#This Row],[d.b]]</f>
        <v>3.5625</v>
      </c>
      <c r="J32" s="80">
        <f>I32/I36</f>
        <v>5.6373626373635393</v>
      </c>
      <c r="K32" s="80">
        <f t="shared" si="29"/>
        <v>2.3205272350337482</v>
      </c>
      <c r="L32" s="80">
        <f t="shared" si="30"/>
        <v>3.2883985212388325</v>
      </c>
      <c r="M32" s="79" t="str">
        <f t="shared" si="31"/>
        <v>berbeda nyata</v>
      </c>
    </row>
    <row r="33" spans="6:13" x14ac:dyDescent="0.35">
      <c r="F33" t="s">
        <v>76</v>
      </c>
      <c r="G33">
        <v>2</v>
      </c>
      <c r="H33" s="3">
        <f>L15</f>
        <v>3.7222222222189885</v>
      </c>
      <c r="I33" s="3">
        <f>Table44[[#This Row],[J.K]]/Table44[[#This Row],[d.b]]</f>
        <v>1.8611111111094942</v>
      </c>
      <c r="J33" s="3">
        <f>I33/I36</f>
        <v>2.9450549450528576</v>
      </c>
      <c r="K33" s="3">
        <f>FINV(0.05,G33,G36)</f>
        <v>3.6337234675916301</v>
      </c>
      <c r="L33" s="3">
        <f>FINV(0.01,G33,G36)</f>
        <v>6.2262352803113821</v>
      </c>
      <c r="M33" t="str">
        <f t="shared" si="31"/>
        <v>tidak berbeda nyata</v>
      </c>
    </row>
    <row r="34" spans="6:13" x14ac:dyDescent="0.35">
      <c r="F34" s="79" t="s">
        <v>239</v>
      </c>
      <c r="G34" s="79">
        <v>2</v>
      </c>
      <c r="H34" s="80">
        <f>L16</f>
        <v>19.055555555554747</v>
      </c>
      <c r="I34" s="80">
        <f>Table44[[#This Row],[J.K]]/Table44[[#This Row],[d.b]]</f>
        <v>9.5277777777773736</v>
      </c>
      <c r="J34" s="80">
        <f>I34/I36</f>
        <v>15.076923076924848</v>
      </c>
      <c r="K34" s="80">
        <f>FINV(0.05,G34,G36)</f>
        <v>3.6337234675916301</v>
      </c>
      <c r="L34" s="80">
        <f>FINV(0.01,G34,G36)</f>
        <v>6.2262352803113821</v>
      </c>
      <c r="M34" s="79" t="str">
        <f t="shared" si="31"/>
        <v>berbeda nyata</v>
      </c>
    </row>
    <row r="35" spans="6:13" x14ac:dyDescent="0.35">
      <c r="F35" t="s">
        <v>240</v>
      </c>
      <c r="G35">
        <v>4</v>
      </c>
      <c r="H35" s="3">
        <f>L17</f>
        <v>5.7222222222262644</v>
      </c>
      <c r="I35" s="3">
        <f>Table44[[#This Row],[J.K]]/Table44[[#This Row],[d.b]]</f>
        <v>1.4305555555565661</v>
      </c>
      <c r="J35" s="3">
        <f>I35/I36</f>
        <v>2.2637362637382248</v>
      </c>
      <c r="K35" s="3">
        <f>FINV(0.05,G35,G36)</f>
        <v>3.0069172799243447</v>
      </c>
      <c r="L35" s="3">
        <f>FINV(0.01,G35,G36)</f>
        <v>4.772577999723211</v>
      </c>
      <c r="M35" t="str">
        <f t="shared" si="31"/>
        <v>tidak berbeda nyata</v>
      </c>
    </row>
    <row r="36" spans="6:13" x14ac:dyDescent="0.35">
      <c r="F36" t="s">
        <v>96</v>
      </c>
      <c r="G36">
        <v>16</v>
      </c>
      <c r="H36" s="3">
        <f>G19</f>
        <v>10.111111111109494</v>
      </c>
      <c r="I36" s="3">
        <f>Table44[[#This Row],[J.K]]/Table44[[#This Row],[d.b]]</f>
        <v>0.63194444444434339</v>
      </c>
      <c r="J36" s="3"/>
      <c r="K36" s="3"/>
      <c r="L36" s="3"/>
    </row>
    <row r="37" spans="6:13" x14ac:dyDescent="0.35">
      <c r="F37" t="s">
        <v>54</v>
      </c>
      <c r="G37">
        <v>26</v>
      </c>
      <c r="H37" s="3">
        <f>G16</f>
        <v>40.166666666664241</v>
      </c>
      <c r="I37" s="3">
        <f>Table44[[#This Row],[J.K]]/Table44[[#This Row],[d.b]]</f>
        <v>1.5448717948717017</v>
      </c>
      <c r="J37" s="3"/>
      <c r="K37" s="3"/>
      <c r="L37" s="3"/>
    </row>
    <row r="39" spans="6:13" x14ac:dyDescent="0.35">
      <c r="F39" s="101" t="s">
        <v>243</v>
      </c>
      <c r="G39" s="101"/>
      <c r="H39" s="33"/>
      <c r="I39" s="38" t="s">
        <v>41</v>
      </c>
      <c r="J39" s="38" t="s">
        <v>68</v>
      </c>
      <c r="K39" s="38" t="s">
        <v>86</v>
      </c>
      <c r="L39" s="38"/>
    </row>
    <row r="40" spans="6:13" x14ac:dyDescent="0.35">
      <c r="F40" s="34" t="s">
        <v>229</v>
      </c>
      <c r="G40" s="35">
        <f>SQRT(I36/J15)</f>
        <v>0.26498311150468595</v>
      </c>
      <c r="H40" s="33"/>
      <c r="I40" s="39" t="s">
        <v>69</v>
      </c>
      <c r="J40" s="49">
        <f>G27</f>
        <v>41.833333333333336</v>
      </c>
      <c r="K40" s="40" t="s">
        <v>88</v>
      </c>
      <c r="L40" s="49"/>
    </row>
    <row r="41" spans="6:13" x14ac:dyDescent="0.35">
      <c r="F41" s="34" t="s">
        <v>230</v>
      </c>
      <c r="G41" s="36">
        <v>3.65</v>
      </c>
      <c r="H41" s="33"/>
      <c r="I41" s="39" t="s">
        <v>70</v>
      </c>
      <c r="J41" s="49">
        <f>H27</f>
        <v>40.722222222222221</v>
      </c>
      <c r="K41" s="40" t="s">
        <v>90</v>
      </c>
      <c r="L41" s="49">
        <f>J41+$G$42</f>
        <v>41.689410579214325</v>
      </c>
    </row>
    <row r="42" spans="6:13" x14ac:dyDescent="0.35">
      <c r="F42" s="34" t="s">
        <v>231</v>
      </c>
      <c r="G42" s="35">
        <f>G40*G41</f>
        <v>0.9671883569921037</v>
      </c>
      <c r="H42" s="33"/>
      <c r="I42" s="39" t="s">
        <v>71</v>
      </c>
      <c r="J42" s="49">
        <f>I27</f>
        <v>39.777777777777779</v>
      </c>
      <c r="K42" s="40" t="s">
        <v>87</v>
      </c>
      <c r="L42" s="49">
        <f>J42+$G$42</f>
        <v>40.744966134769882</v>
      </c>
    </row>
    <row r="43" spans="6:13" x14ac:dyDescent="0.35">
      <c r="F43" s="37"/>
      <c r="G43" s="37"/>
      <c r="H43" s="37"/>
      <c r="I43" s="41" t="s">
        <v>235</v>
      </c>
      <c r="J43" s="55">
        <f>G42</f>
        <v>0.9671883569921037</v>
      </c>
      <c r="K43" s="42"/>
      <c r="L43" s="50"/>
    </row>
    <row r="44" spans="6:13" x14ac:dyDescent="0.35">
      <c r="I44" s="43" t="s">
        <v>65</v>
      </c>
      <c r="J44" s="49">
        <f>K23</f>
        <v>40.388888888888886</v>
      </c>
      <c r="K44" s="40" t="s">
        <v>87</v>
      </c>
      <c r="L44" s="49">
        <f>J44+$G$42</f>
        <v>41.356077245880989</v>
      </c>
      <c r="M44" s="66"/>
    </row>
    <row r="45" spans="6:13" x14ac:dyDescent="0.35">
      <c r="I45" s="43" t="s">
        <v>66</v>
      </c>
      <c r="J45" s="49">
        <f>K24</f>
        <v>40.666666666666664</v>
      </c>
      <c r="K45" s="40" t="s">
        <v>87</v>
      </c>
      <c r="L45" s="49"/>
      <c r="M45" s="66"/>
    </row>
    <row r="46" spans="6:13" x14ac:dyDescent="0.35">
      <c r="I46" s="43" t="s">
        <v>67</v>
      </c>
      <c r="J46" s="49">
        <f>K25</f>
        <v>41.277777777777779</v>
      </c>
      <c r="K46" s="40" t="s">
        <v>87</v>
      </c>
      <c r="L46" s="49"/>
      <c r="M46" s="66"/>
    </row>
    <row r="47" spans="6:13" x14ac:dyDescent="0.35">
      <c r="I47" s="41" t="s">
        <v>235</v>
      </c>
      <c r="J47" s="50" t="s">
        <v>84</v>
      </c>
      <c r="K47" s="42"/>
      <c r="L47" s="42"/>
    </row>
    <row r="50" spans="7:13" x14ac:dyDescent="0.35">
      <c r="J50" s="5"/>
      <c r="L50" s="66"/>
      <c r="M50" s="66"/>
    </row>
    <row r="51" spans="7:13" x14ac:dyDescent="0.35">
      <c r="J51" s="5"/>
      <c r="L51" s="66"/>
      <c r="M51" s="66"/>
    </row>
    <row r="52" spans="7:13" x14ac:dyDescent="0.35">
      <c r="J52" s="5"/>
      <c r="L52" s="66"/>
      <c r="M52" s="66"/>
    </row>
    <row r="55" spans="7:13" x14ac:dyDescent="0.35">
      <c r="G55" s="66"/>
    </row>
    <row r="58" spans="7:13" x14ac:dyDescent="0.35">
      <c r="I58" s="66"/>
    </row>
    <row r="59" spans="7:13" x14ac:dyDescent="0.35">
      <c r="I59" s="66"/>
      <c r="J59" s="66"/>
    </row>
    <row r="60" spans="7:13" x14ac:dyDescent="0.35">
      <c r="I60" s="66"/>
      <c r="J60" s="66"/>
    </row>
    <row r="62" spans="7:13" x14ac:dyDescent="0.35">
      <c r="I62" s="66"/>
      <c r="J62" s="66"/>
    </row>
    <row r="64" spans="7:13" x14ac:dyDescent="0.35">
      <c r="I64" s="66"/>
      <c r="J64" s="66"/>
    </row>
    <row r="68" spans="13:15" x14ac:dyDescent="0.35">
      <c r="M68" s="11"/>
      <c r="N68" s="11"/>
      <c r="O68" s="11"/>
    </row>
    <row r="69" spans="13:15" x14ac:dyDescent="0.35">
      <c r="M69" s="26"/>
      <c r="N69" s="26"/>
      <c r="O69" s="26"/>
    </row>
    <row r="70" spans="13:15" x14ac:dyDescent="0.35">
      <c r="M70" s="26"/>
      <c r="N70" s="26"/>
      <c r="O70" s="26"/>
    </row>
    <row r="71" spans="13:15" x14ac:dyDescent="0.35">
      <c r="M71" s="26"/>
      <c r="N71" s="26"/>
      <c r="O71" s="26"/>
    </row>
  </sheetData>
  <sortState xmlns:xlrd2="http://schemas.microsoft.com/office/spreadsheetml/2017/richdata2" ref="L58:N66">
    <sortCondition ref="L58:L66"/>
  </sortState>
  <mergeCells count="75">
    <mergeCell ref="AD15:AD17"/>
    <mergeCell ref="AE15:AE17"/>
    <mergeCell ref="AF15:AF17"/>
    <mergeCell ref="AF18:AF20"/>
    <mergeCell ref="Z18:Z20"/>
    <mergeCell ref="AA18:AA20"/>
    <mergeCell ref="AB18:AB20"/>
    <mergeCell ref="AC18:AC20"/>
    <mergeCell ref="AD18:AD20"/>
    <mergeCell ref="AE18:AE20"/>
    <mergeCell ref="S18:S20"/>
    <mergeCell ref="U18:U20"/>
    <mergeCell ref="Y18:Y20"/>
    <mergeCell ref="AB15:AB17"/>
    <mergeCell ref="AC15:AC17"/>
    <mergeCell ref="AD12:AD14"/>
    <mergeCell ref="AE12:AE14"/>
    <mergeCell ref="AF12:AF14"/>
    <mergeCell ref="N15:N17"/>
    <mergeCell ref="R15:R17"/>
    <mergeCell ref="S15:S17"/>
    <mergeCell ref="U15:U17"/>
    <mergeCell ref="Y15:Y17"/>
    <mergeCell ref="Z15:Z17"/>
    <mergeCell ref="AA15:AA17"/>
    <mergeCell ref="U12:U14"/>
    <mergeCell ref="Y12:Y14"/>
    <mergeCell ref="Z12:Z14"/>
    <mergeCell ref="AA12:AA14"/>
    <mergeCell ref="AB12:AB14"/>
    <mergeCell ref="AC12:AC14"/>
    <mergeCell ref="Y9:Y11"/>
    <mergeCell ref="AF9:AF11"/>
    <mergeCell ref="AC6:AC8"/>
    <mergeCell ref="AD6:AD8"/>
    <mergeCell ref="AE6:AE8"/>
    <mergeCell ref="AF6:AF8"/>
    <mergeCell ref="AA9:AA11"/>
    <mergeCell ref="AB9:AB11"/>
    <mergeCell ref="AC9:AC11"/>
    <mergeCell ref="AD9:AD11"/>
    <mergeCell ref="AE9:AE11"/>
    <mergeCell ref="Z9:Z11"/>
    <mergeCell ref="AE3:AE5"/>
    <mergeCell ref="AF3:AF5"/>
    <mergeCell ref="N6:N8"/>
    <mergeCell ref="R6:R8"/>
    <mergeCell ref="S6:S8"/>
    <mergeCell ref="U6:U8"/>
    <mergeCell ref="Y6:Y8"/>
    <mergeCell ref="Z6:Z8"/>
    <mergeCell ref="AA6:AA8"/>
    <mergeCell ref="AB6:AB8"/>
    <mergeCell ref="Y3:Y5"/>
    <mergeCell ref="Z3:Z5"/>
    <mergeCell ref="AA3:AA5"/>
    <mergeCell ref="AB3:AB5"/>
    <mergeCell ref="AC3:AC5"/>
    <mergeCell ref="AD3:AD5"/>
    <mergeCell ref="F39:G39"/>
    <mergeCell ref="N2:Q2"/>
    <mergeCell ref="U2:X2"/>
    <mergeCell ref="N3:N5"/>
    <mergeCell ref="R3:R5"/>
    <mergeCell ref="S3:S5"/>
    <mergeCell ref="U3:U5"/>
    <mergeCell ref="N12:N14"/>
    <mergeCell ref="R12:R14"/>
    <mergeCell ref="S12:S14"/>
    <mergeCell ref="N9:N11"/>
    <mergeCell ref="R9:R11"/>
    <mergeCell ref="S9:S11"/>
    <mergeCell ref="U9:U11"/>
    <mergeCell ref="N18:N20"/>
    <mergeCell ref="R18:R20"/>
  </mergeCells>
  <phoneticPr fontId="2" type="noConversion"/>
  <conditionalFormatting sqref="M69:O71">
    <cfRule type="colorScale" priority="4">
      <colorScale>
        <cfvo type="min"/>
        <cfvo type="max"/>
        <color theme="4"/>
        <color rgb="FFFFEF9C"/>
      </colorScale>
    </cfRule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  <cfRule type="colorScale" priority="6">
      <colorScale>
        <cfvo type="min"/>
        <cfvo type="max"/>
        <color theme="1" tint="0.499984740745262"/>
        <color theme="0" tint="-4.9989318521683403E-2"/>
      </colorScale>
    </cfRule>
  </conditionalFormatting>
  <conditionalFormatting sqref="S3:S5">
    <cfRule type="cellIs" priority="1" operator="equal">
      <formula>#REF!</formula>
    </cfRule>
  </conditionalFormatting>
  <conditionalFormatting sqref="S3:T11">
    <cfRule type="colorScale" priority="3">
      <colorScale>
        <cfvo type="min"/>
        <cfvo type="max"/>
        <color rgb="FF63BE7B"/>
        <color rgb="FFFFEF9C"/>
      </colorScale>
    </cfRule>
  </conditionalFormatting>
  <conditionalFormatting sqref="S12:T20">
    <cfRule type="colorScale" priority="2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C1E87-C565-4070-8436-15354724C4D0}">
  <dimension ref="A1:T144"/>
  <sheetViews>
    <sheetView topLeftCell="A21" zoomScale="70" zoomScaleNormal="70" workbookViewId="0">
      <selection activeCell="I40" sqref="I40"/>
    </sheetView>
  </sheetViews>
  <sheetFormatPr defaultRowHeight="14.5" x14ac:dyDescent="0.35"/>
  <cols>
    <col min="1" max="3" width="10.26953125" customWidth="1"/>
    <col min="8" max="8" width="19" customWidth="1"/>
    <col min="11" max="11" width="10.26953125" customWidth="1"/>
    <col min="12" max="12" width="10.1796875" customWidth="1"/>
    <col min="13" max="13" width="11.453125" customWidth="1"/>
    <col min="14" max="14" width="11.1796875" customWidth="1"/>
  </cols>
  <sheetData>
    <row r="1" spans="1:14" x14ac:dyDescent="0.35">
      <c r="A1" s="1" t="s">
        <v>27</v>
      </c>
      <c r="D1" t="s">
        <v>26</v>
      </c>
    </row>
    <row r="2" spans="1:14" x14ac:dyDescent="0.35">
      <c r="A2" t="s">
        <v>0</v>
      </c>
      <c r="B2">
        <v>1.6</v>
      </c>
      <c r="D2">
        <f>(B2*0.1*60.5*8/6)*100</f>
        <v>1290.6666666666667</v>
      </c>
      <c r="E2">
        <f>((B2*0.1*60.5*10)/(10*1000))*100</f>
        <v>0.96800000000000008</v>
      </c>
      <c r="H2" t="s">
        <v>41</v>
      </c>
      <c r="I2" t="s">
        <v>42</v>
      </c>
      <c r="J2" t="s">
        <v>43</v>
      </c>
      <c r="K2" t="s">
        <v>44</v>
      </c>
      <c r="L2" t="s">
        <v>54</v>
      </c>
      <c r="M2" t="s">
        <v>55</v>
      </c>
      <c r="N2" t="s">
        <v>92</v>
      </c>
    </row>
    <row r="3" spans="1:14" x14ac:dyDescent="0.35">
      <c r="A3" t="s">
        <v>1</v>
      </c>
      <c r="B3">
        <v>1.3</v>
      </c>
      <c r="D3">
        <f t="shared" ref="D3:D28" si="0">(B3*0.1*60.5*8/6)*100</f>
        <v>1048.6666666666667</v>
      </c>
      <c r="E3">
        <f t="shared" ref="E3:E28" si="1">((B3*0.1*60.5*10)/(10*1000))*100</f>
        <v>0.78650000000000009</v>
      </c>
      <c r="H3" t="s">
        <v>45</v>
      </c>
      <c r="I3">
        <v>0.96799999999999997</v>
      </c>
      <c r="J3">
        <v>0.78649999999999998</v>
      </c>
      <c r="K3">
        <v>1.1495</v>
      </c>
      <c r="L3">
        <f>SUM(Table2[[#This Row],[U1]:[U3]])</f>
        <v>2.9039999999999999</v>
      </c>
      <c r="M3">
        <f>AVERAGE(Table2[[#This Row],[U1]:[Total]])</f>
        <v>1.452</v>
      </c>
      <c r="N3" s="2">
        <f>_xlfn.STDEV.P(Table2[[#This Row],[U1]:[U3]])</f>
        <v>0.14819412943838209</v>
      </c>
    </row>
    <row r="4" spans="1:14" x14ac:dyDescent="0.35">
      <c r="A4" t="s">
        <v>1</v>
      </c>
      <c r="B4">
        <v>1.9</v>
      </c>
      <c r="D4">
        <f t="shared" si="0"/>
        <v>1532.6666666666667</v>
      </c>
      <c r="E4">
        <f t="shared" si="1"/>
        <v>1.1495000000000002</v>
      </c>
      <c r="H4" t="s">
        <v>46</v>
      </c>
      <c r="I4" s="3">
        <v>0.90749999999999997</v>
      </c>
      <c r="J4" s="3">
        <v>0.96799999999999997</v>
      </c>
      <c r="K4" s="3">
        <v>0.78649999999999998</v>
      </c>
      <c r="L4" s="3">
        <f>SUM(Table2[[#This Row],[U1]:[U3]])</f>
        <v>2.6619999999999999</v>
      </c>
      <c r="M4" s="3">
        <f>AVERAGE(Table2[[#This Row],[U1]:[Total]])</f>
        <v>1.331</v>
      </c>
      <c r="N4" s="2">
        <f>_xlfn.STDEV.P(Table2[[#This Row],[U1]:[U3]])</f>
        <v>7.5456757299941141E-2</v>
      </c>
    </row>
    <row r="5" spans="1:14" x14ac:dyDescent="0.35">
      <c r="A5" t="s">
        <v>2</v>
      </c>
      <c r="B5">
        <v>1.5</v>
      </c>
      <c r="D5">
        <f t="shared" si="0"/>
        <v>1210.0000000000002</v>
      </c>
      <c r="E5">
        <f t="shared" si="1"/>
        <v>0.9075000000000002</v>
      </c>
      <c r="H5" t="s">
        <v>47</v>
      </c>
      <c r="I5" s="3">
        <v>0.78649999999999998</v>
      </c>
      <c r="J5" s="3">
        <v>0.72599999999999998</v>
      </c>
      <c r="K5" s="3">
        <v>0.78649999999999998</v>
      </c>
      <c r="L5" s="3">
        <f>SUM(Table2[[#This Row],[U1]:[U3]])</f>
        <v>2.2989999999999999</v>
      </c>
      <c r="M5" s="3">
        <f>AVERAGE(Table2[[#This Row],[U1]:[Total]])</f>
        <v>1.1495</v>
      </c>
      <c r="N5" s="2">
        <f>_xlfn.STDEV.P(Table2[[#This Row],[U1]:[U3]])</f>
        <v>2.8519973507857416E-2</v>
      </c>
    </row>
    <row r="6" spans="1:14" x14ac:dyDescent="0.35">
      <c r="A6" t="s">
        <v>3</v>
      </c>
      <c r="B6">
        <v>1.6</v>
      </c>
      <c r="D6">
        <f t="shared" si="0"/>
        <v>1290.6666666666667</v>
      </c>
      <c r="E6">
        <f t="shared" si="1"/>
        <v>0.96800000000000008</v>
      </c>
      <c r="H6" t="s">
        <v>48</v>
      </c>
      <c r="I6" s="3">
        <v>0.90749999999999997</v>
      </c>
      <c r="J6" s="3">
        <v>0.96799999999999997</v>
      </c>
      <c r="K6" s="3">
        <v>1.21</v>
      </c>
      <c r="L6" s="3">
        <f>SUM(Table2[[#This Row],[U1]:[U3]])</f>
        <v>3.0854999999999997</v>
      </c>
      <c r="M6" s="3">
        <f>AVERAGE(Table2[[#This Row],[U1]:[Total]])</f>
        <v>1.5427499999999998</v>
      </c>
      <c r="N6" s="2">
        <f>_xlfn.STDEV.P(Table2[[#This Row],[U1]:[U3]])</f>
        <v>0.13069493741789259</v>
      </c>
    </row>
    <row r="7" spans="1:14" x14ac:dyDescent="0.35">
      <c r="A7" t="s">
        <v>4</v>
      </c>
      <c r="B7">
        <v>1.3</v>
      </c>
      <c r="D7">
        <f t="shared" si="0"/>
        <v>1048.6666666666667</v>
      </c>
      <c r="E7">
        <f t="shared" si="1"/>
        <v>0.78650000000000009</v>
      </c>
      <c r="H7" t="s">
        <v>49</v>
      </c>
      <c r="I7" s="3">
        <v>2.42</v>
      </c>
      <c r="J7" s="3">
        <v>1.8149999999999999</v>
      </c>
      <c r="K7" s="3">
        <v>1.7544999999999999</v>
      </c>
      <c r="L7" s="3">
        <f>SUM(Table2[[#This Row],[U1]:[U3]])</f>
        <v>5.9894999999999996</v>
      </c>
      <c r="M7" s="3">
        <f>AVERAGE(Table2[[#This Row],[U1]:[Total]])</f>
        <v>2.9947499999999998</v>
      </c>
      <c r="N7" s="2">
        <f>_xlfn.STDEV.P(Table2[[#This Row],[U1]:[U3]])</f>
        <v>0.30047656591931893</v>
      </c>
    </row>
    <row r="8" spans="1:14" x14ac:dyDescent="0.35">
      <c r="A8" t="s">
        <v>5</v>
      </c>
      <c r="B8">
        <v>1.3</v>
      </c>
      <c r="D8">
        <f t="shared" si="0"/>
        <v>1048.6666666666667</v>
      </c>
      <c r="E8">
        <f t="shared" si="1"/>
        <v>0.78650000000000009</v>
      </c>
      <c r="H8" t="s">
        <v>50</v>
      </c>
      <c r="I8" s="3">
        <v>1.0285</v>
      </c>
      <c r="J8" s="3">
        <v>1.089</v>
      </c>
      <c r="K8" s="3">
        <v>0.90749999999999997</v>
      </c>
      <c r="L8" s="3">
        <f>SUM(Table2[[#This Row],[U1]:[U3]])</f>
        <v>3.0249999999999995</v>
      </c>
      <c r="M8" s="3">
        <f>AVERAGE(Table2[[#This Row],[U1]:[Total]])</f>
        <v>1.5124999999999997</v>
      </c>
      <c r="N8" s="2">
        <f>_xlfn.STDEV.P(Table2[[#This Row],[U1]:[U3]])</f>
        <v>7.5456757299941155E-2</v>
      </c>
    </row>
    <row r="9" spans="1:14" x14ac:dyDescent="0.35">
      <c r="A9" t="s">
        <v>6</v>
      </c>
      <c r="B9">
        <v>1.2</v>
      </c>
      <c r="D9">
        <f t="shared" si="0"/>
        <v>968</v>
      </c>
      <c r="E9">
        <f t="shared" si="1"/>
        <v>0.72599999999999987</v>
      </c>
      <c r="H9" t="s">
        <v>51</v>
      </c>
      <c r="I9" s="3">
        <v>1.089</v>
      </c>
      <c r="J9" s="3">
        <v>0.90749999999999997</v>
      </c>
      <c r="K9" s="3">
        <v>0.84699999999999998</v>
      </c>
      <c r="L9" s="3">
        <f>SUM(Table2[[#This Row],[U1]:[U3]])</f>
        <v>2.8434999999999997</v>
      </c>
      <c r="M9" s="3">
        <f>AVERAGE(Table2[[#This Row],[U1]:[Total]])</f>
        <v>1.4217499999999998</v>
      </c>
      <c r="N9" s="2">
        <f>_xlfn.STDEV.P(Table2[[#This Row],[U1]:[U3]])</f>
        <v>0.10283022685745517</v>
      </c>
    </row>
    <row r="10" spans="1:14" x14ac:dyDescent="0.35">
      <c r="A10" t="s">
        <v>7</v>
      </c>
      <c r="B10">
        <v>1.3</v>
      </c>
      <c r="D10">
        <f t="shared" si="0"/>
        <v>1048.6666666666667</v>
      </c>
      <c r="E10">
        <f t="shared" si="1"/>
        <v>0.78650000000000009</v>
      </c>
      <c r="H10" t="s">
        <v>52</v>
      </c>
      <c r="I10" s="3">
        <v>1.5125</v>
      </c>
      <c r="J10" s="3">
        <v>1.21</v>
      </c>
      <c r="K10" s="3">
        <v>1.089</v>
      </c>
      <c r="L10" s="3">
        <f>SUM(Table2[[#This Row],[U1]:[U3]])</f>
        <v>3.8115000000000001</v>
      </c>
      <c r="M10" s="3">
        <f>AVERAGE(Table2[[#This Row],[U1]:[Total]])</f>
        <v>1.9057500000000001</v>
      </c>
      <c r="N10" s="2">
        <f>_xlfn.STDEV.P(Table2[[#This Row],[U1]:[U3]])</f>
        <v>0.17810717747094498</v>
      </c>
    </row>
    <row r="11" spans="1:14" x14ac:dyDescent="0.35">
      <c r="A11" t="s">
        <v>8</v>
      </c>
      <c r="B11">
        <v>1.5</v>
      </c>
      <c r="D11">
        <f t="shared" si="0"/>
        <v>1210.0000000000002</v>
      </c>
      <c r="E11">
        <f t="shared" si="1"/>
        <v>0.9075000000000002</v>
      </c>
      <c r="H11" t="s">
        <v>53</v>
      </c>
      <c r="I11" s="3">
        <v>1.21</v>
      </c>
      <c r="J11" s="3">
        <v>0.90749999999999997</v>
      </c>
      <c r="K11" s="3">
        <v>0.72599999999999998</v>
      </c>
      <c r="L11" s="3">
        <f>SUM(Table2[[#This Row],[U1]:[U3]])</f>
        <v>2.8434999999999997</v>
      </c>
      <c r="M11" s="3">
        <f>AVERAGE(Table2[[#This Row],[U1]:[Total]])</f>
        <v>1.4217499999999998</v>
      </c>
      <c r="N11" s="2">
        <f>_xlfn.STDEV.P(Table2[[#This Row],[U1]:[U3]])</f>
        <v>0.1996398145550024</v>
      </c>
    </row>
    <row r="12" spans="1:14" x14ac:dyDescent="0.35">
      <c r="A12" t="s">
        <v>9</v>
      </c>
      <c r="B12">
        <v>1.6</v>
      </c>
      <c r="D12">
        <f t="shared" si="0"/>
        <v>1290.6666666666667</v>
      </c>
      <c r="E12">
        <f t="shared" si="1"/>
        <v>0.96800000000000008</v>
      </c>
      <c r="H12" t="s">
        <v>56</v>
      </c>
      <c r="I12" s="3">
        <f>SUM(I3:I11)</f>
        <v>10.829499999999999</v>
      </c>
      <c r="J12" s="3">
        <f>SUM(J3:J11)</f>
        <v>9.3775000000000013</v>
      </c>
      <c r="K12" s="3">
        <f>SUM(K3:K11)</f>
        <v>9.2564999999999991</v>
      </c>
      <c r="L12" s="3">
        <f>SUM(L3:L11)</f>
        <v>29.463499999999993</v>
      </c>
      <c r="N12" s="2">
        <f>_xlfn.STDEV.P(Table2[[#This Row],[U1]:[U3]])</f>
        <v>0.71470848758233019</v>
      </c>
    </row>
    <row r="13" spans="1:14" x14ac:dyDescent="0.35">
      <c r="A13" t="s">
        <v>10</v>
      </c>
      <c r="B13">
        <v>2</v>
      </c>
      <c r="D13">
        <f t="shared" si="0"/>
        <v>1613.3333333333337</v>
      </c>
      <c r="E13">
        <f t="shared" si="1"/>
        <v>1.2100000000000002</v>
      </c>
      <c r="H13" t="s">
        <v>57</v>
      </c>
      <c r="I13" s="3">
        <f>AVERAGE(I3:I12)</f>
        <v>2.1658999999999997</v>
      </c>
      <c r="J13" s="3">
        <f>AVERAGE(J3:J12)</f>
        <v>1.8755000000000002</v>
      </c>
      <c r="K13" s="3">
        <f>AVERAGE(K3:K12)</f>
        <v>1.8512999999999997</v>
      </c>
      <c r="N13" s="66"/>
    </row>
    <row r="14" spans="1:14" x14ac:dyDescent="0.35">
      <c r="A14" t="s">
        <v>11</v>
      </c>
      <c r="B14">
        <v>4</v>
      </c>
      <c r="D14">
        <f t="shared" si="0"/>
        <v>3226.6666666666674</v>
      </c>
      <c r="E14">
        <f t="shared" si="1"/>
        <v>2.4200000000000004</v>
      </c>
    </row>
    <row r="15" spans="1:14" x14ac:dyDescent="0.35">
      <c r="A15" t="s">
        <v>12</v>
      </c>
      <c r="B15">
        <v>3</v>
      </c>
      <c r="D15">
        <f t="shared" si="0"/>
        <v>2420.0000000000005</v>
      </c>
      <c r="E15">
        <f t="shared" si="1"/>
        <v>1.8150000000000004</v>
      </c>
      <c r="H15" s="67" t="s">
        <v>58</v>
      </c>
      <c r="I15" s="68">
        <f>(L12^2)/(L15*L16)</f>
        <v>32.151771564814801</v>
      </c>
      <c r="K15" t="s">
        <v>63</v>
      </c>
      <c r="L15">
        <v>9</v>
      </c>
      <c r="M15" s="67" t="s">
        <v>245</v>
      </c>
      <c r="N15" s="69">
        <f>(SUMSQ(L23:L25)/(L15))-I15</f>
        <v>1.0137536851851934</v>
      </c>
    </row>
    <row r="16" spans="1:14" x14ac:dyDescent="0.35">
      <c r="A16" t="s">
        <v>13</v>
      </c>
      <c r="B16">
        <v>2.9</v>
      </c>
      <c r="D16">
        <f t="shared" si="0"/>
        <v>2339.333333333333</v>
      </c>
      <c r="E16">
        <f t="shared" si="1"/>
        <v>1.7544999999999997</v>
      </c>
      <c r="H16" s="67" t="s">
        <v>59</v>
      </c>
      <c r="I16" s="31">
        <f>(SUMSQ(I3:K11))-I15</f>
        <v>3.86874868518521</v>
      </c>
      <c r="K16" t="s">
        <v>64</v>
      </c>
      <c r="L16">
        <v>3</v>
      </c>
      <c r="M16" s="67" t="s">
        <v>246</v>
      </c>
      <c r="N16" s="69">
        <f>(SUMSQ(I26:K26)/(L15))-I15</f>
        <v>1.1878189074074186</v>
      </c>
    </row>
    <row r="17" spans="1:15" x14ac:dyDescent="0.35">
      <c r="A17" t="s">
        <v>15</v>
      </c>
      <c r="B17">
        <v>1.7</v>
      </c>
      <c r="D17">
        <f t="shared" si="0"/>
        <v>1371.3333333333333</v>
      </c>
      <c r="E17">
        <f t="shared" si="1"/>
        <v>1.0285</v>
      </c>
      <c r="H17" s="67" t="s">
        <v>60</v>
      </c>
      <c r="I17" s="31">
        <f>(SUMSQ(I12:K12)/L15)-I15</f>
        <v>0.17026940740741736</v>
      </c>
      <c r="M17" s="67" t="s">
        <v>244</v>
      </c>
      <c r="N17" s="69">
        <f>I18-N16-N15</f>
        <v>0.99613025925924603</v>
      </c>
    </row>
    <row r="18" spans="1:15" x14ac:dyDescent="0.35">
      <c r="A18" t="s">
        <v>16</v>
      </c>
      <c r="B18">
        <v>1.8</v>
      </c>
      <c r="D18">
        <f t="shared" si="0"/>
        <v>1452.0000000000002</v>
      </c>
      <c r="E18">
        <f t="shared" si="1"/>
        <v>1.089</v>
      </c>
      <c r="H18" s="67" t="s">
        <v>61</v>
      </c>
      <c r="I18" s="31">
        <f>(SUMSQ(L3:L11)/L16)-I15</f>
        <v>3.197702851851858</v>
      </c>
    </row>
    <row r="19" spans="1:15" x14ac:dyDescent="0.35">
      <c r="A19" t="s">
        <v>14</v>
      </c>
      <c r="B19">
        <v>1.5</v>
      </c>
      <c r="D19">
        <f t="shared" si="0"/>
        <v>1210.0000000000002</v>
      </c>
      <c r="E19">
        <f t="shared" si="1"/>
        <v>0.9075000000000002</v>
      </c>
      <c r="H19" s="67" t="s">
        <v>62</v>
      </c>
      <c r="I19" s="31">
        <f>I16-I17-I18</f>
        <v>0.50077642592593463</v>
      </c>
    </row>
    <row r="20" spans="1:15" x14ac:dyDescent="0.35">
      <c r="A20" t="s">
        <v>17</v>
      </c>
      <c r="B20">
        <v>1.8</v>
      </c>
      <c r="D20">
        <f t="shared" si="0"/>
        <v>1452.0000000000002</v>
      </c>
      <c r="E20">
        <f t="shared" si="1"/>
        <v>1.089</v>
      </c>
    </row>
    <row r="21" spans="1:15" x14ac:dyDescent="0.35">
      <c r="A21" t="s">
        <v>18</v>
      </c>
      <c r="B21">
        <v>1.5</v>
      </c>
      <c r="D21">
        <f t="shared" si="0"/>
        <v>1210.0000000000002</v>
      </c>
      <c r="E21">
        <f t="shared" si="1"/>
        <v>0.9075000000000002</v>
      </c>
      <c r="H21" t="s">
        <v>91</v>
      </c>
    </row>
    <row r="22" spans="1:15" x14ac:dyDescent="0.35">
      <c r="A22" t="s">
        <v>19</v>
      </c>
      <c r="B22">
        <v>1.4</v>
      </c>
      <c r="D22">
        <f t="shared" si="0"/>
        <v>1129.333333333333</v>
      </c>
      <c r="E22">
        <f t="shared" si="1"/>
        <v>0.84699999999999986</v>
      </c>
      <c r="H22" t="s">
        <v>41</v>
      </c>
      <c r="I22" t="s">
        <v>69</v>
      </c>
      <c r="J22" t="s">
        <v>70</v>
      </c>
      <c r="K22" t="s">
        <v>71</v>
      </c>
      <c r="L22" t="s">
        <v>54</v>
      </c>
      <c r="M22" t="s">
        <v>93</v>
      </c>
    </row>
    <row r="23" spans="1:15" x14ac:dyDescent="0.35">
      <c r="A23" t="s">
        <v>20</v>
      </c>
      <c r="B23">
        <v>2.5</v>
      </c>
      <c r="D23">
        <f t="shared" si="0"/>
        <v>2016.6666666666667</v>
      </c>
      <c r="E23">
        <f t="shared" si="1"/>
        <v>1.5125</v>
      </c>
      <c r="H23" t="s">
        <v>65</v>
      </c>
      <c r="I23" s="3">
        <f>L3</f>
        <v>2.9039999999999999</v>
      </c>
      <c r="J23" s="3">
        <f>L4</f>
        <v>2.6619999999999999</v>
      </c>
      <c r="K23" s="3">
        <f>L5</f>
        <v>2.2989999999999999</v>
      </c>
      <c r="L23" s="3">
        <f>SUM(Table1953[[#This Row],[S1]:[S3]])</f>
        <v>7.8650000000000002</v>
      </c>
      <c r="M23" s="3">
        <f>Table1953[[#This Row],[Total]]/9</f>
        <v>0.87388888888888894</v>
      </c>
    </row>
    <row r="24" spans="1:15" x14ac:dyDescent="0.35">
      <c r="A24" t="s">
        <v>21</v>
      </c>
      <c r="B24">
        <v>2</v>
      </c>
      <c r="D24">
        <f t="shared" si="0"/>
        <v>1613.3333333333337</v>
      </c>
      <c r="E24">
        <f t="shared" si="1"/>
        <v>1.2100000000000002</v>
      </c>
      <c r="H24" t="s">
        <v>66</v>
      </c>
      <c r="I24" s="3">
        <f>L6</f>
        <v>3.0854999999999997</v>
      </c>
      <c r="J24" s="3">
        <f>L7</f>
        <v>5.9894999999999996</v>
      </c>
      <c r="K24" s="3">
        <f>L8</f>
        <v>3.0249999999999995</v>
      </c>
      <c r="L24" s="3">
        <f>SUM(Table1953[[#This Row],[S1]:[S3]])</f>
        <v>12.099999999999998</v>
      </c>
      <c r="M24" s="3">
        <f>Table1953[[#This Row],[Total]]/9</f>
        <v>1.3444444444444441</v>
      </c>
    </row>
    <row r="25" spans="1:15" x14ac:dyDescent="0.35">
      <c r="A25" t="s">
        <v>22</v>
      </c>
      <c r="B25">
        <v>1.8</v>
      </c>
      <c r="D25">
        <f t="shared" si="0"/>
        <v>1452.0000000000002</v>
      </c>
      <c r="E25">
        <f t="shared" si="1"/>
        <v>1.089</v>
      </c>
      <c r="H25" t="s">
        <v>67</v>
      </c>
      <c r="I25" s="3">
        <f>L9</f>
        <v>2.8434999999999997</v>
      </c>
      <c r="J25" s="3">
        <f>L10</f>
        <v>3.8115000000000001</v>
      </c>
      <c r="K25" s="3">
        <f>L11</f>
        <v>2.8434999999999997</v>
      </c>
      <c r="L25" s="3">
        <f>SUM(Table1953[[#This Row],[S1]:[S3]])</f>
        <v>9.4984999999999999</v>
      </c>
      <c r="M25" s="3">
        <f>Table1953[[#This Row],[Total]]/9</f>
        <v>1.0553888888888889</v>
      </c>
    </row>
    <row r="26" spans="1:15" x14ac:dyDescent="0.35">
      <c r="A26" t="s">
        <v>23</v>
      </c>
      <c r="B26">
        <v>2</v>
      </c>
      <c r="D26">
        <f t="shared" si="0"/>
        <v>1613.3333333333337</v>
      </c>
      <c r="E26">
        <f t="shared" si="1"/>
        <v>1.2100000000000002</v>
      </c>
      <c r="H26" t="s">
        <v>54</v>
      </c>
      <c r="I26" s="3">
        <f>SUM(I23:I25)</f>
        <v>8.8329999999999984</v>
      </c>
      <c r="J26" s="3">
        <f t="shared" ref="J26:K26" si="2">SUM(J23:J25)</f>
        <v>12.462999999999999</v>
      </c>
      <c r="K26" s="3">
        <f t="shared" si="2"/>
        <v>8.1675000000000004</v>
      </c>
      <c r="L26" s="3">
        <f>SUM(L23:L25)</f>
        <v>29.463499999999996</v>
      </c>
      <c r="M26" s="3"/>
    </row>
    <row r="27" spans="1:15" x14ac:dyDescent="0.35">
      <c r="A27" t="s">
        <v>24</v>
      </c>
      <c r="B27">
        <v>1.5</v>
      </c>
      <c r="D27">
        <f t="shared" si="0"/>
        <v>1210.0000000000002</v>
      </c>
      <c r="E27">
        <f t="shared" si="1"/>
        <v>0.9075000000000002</v>
      </c>
      <c r="H27" t="s">
        <v>93</v>
      </c>
      <c r="I27" s="3">
        <f>I26/9</f>
        <v>0.98144444444444423</v>
      </c>
      <c r="J27" s="3">
        <f t="shared" ref="J27:K27" si="3">J26/9</f>
        <v>1.3847777777777777</v>
      </c>
      <c r="K27" s="3">
        <f t="shared" si="3"/>
        <v>0.90750000000000008</v>
      </c>
      <c r="L27" s="3"/>
      <c r="M27" s="3"/>
    </row>
    <row r="28" spans="1:15" x14ac:dyDescent="0.35">
      <c r="A28" t="s">
        <v>25</v>
      </c>
      <c r="B28">
        <v>1.2</v>
      </c>
      <c r="D28">
        <f t="shared" si="0"/>
        <v>968</v>
      </c>
      <c r="E28">
        <f t="shared" si="1"/>
        <v>0.72599999999999987</v>
      </c>
      <c r="I28" s="5"/>
      <c r="J28" s="5"/>
      <c r="K28" s="5"/>
      <c r="L28" s="5"/>
      <c r="M28" s="5"/>
    </row>
    <row r="29" spans="1:15" x14ac:dyDescent="0.35">
      <c r="H29" t="s">
        <v>73</v>
      </c>
    </row>
    <row r="30" spans="1:15" x14ac:dyDescent="0.35">
      <c r="A30" s="1" t="s">
        <v>28</v>
      </c>
      <c r="H30" t="s">
        <v>74</v>
      </c>
      <c r="I30" t="s">
        <v>77</v>
      </c>
      <c r="J30" t="s">
        <v>78</v>
      </c>
      <c r="K30" t="s">
        <v>79</v>
      </c>
      <c r="L30" t="s">
        <v>80</v>
      </c>
      <c r="M30" t="s">
        <v>81</v>
      </c>
      <c r="N30" t="s">
        <v>82</v>
      </c>
      <c r="O30" t="s">
        <v>83</v>
      </c>
    </row>
    <row r="31" spans="1:15" x14ac:dyDescent="0.35">
      <c r="A31" t="s">
        <v>29</v>
      </c>
      <c r="B31">
        <v>5</v>
      </c>
      <c r="H31" s="72" t="s">
        <v>95</v>
      </c>
      <c r="I31" s="72">
        <v>2</v>
      </c>
      <c r="J31" s="73">
        <f>I17</f>
        <v>0.17026940740741736</v>
      </c>
      <c r="K31" s="73">
        <f>Table4424[[#This Row],[J.K]]/Table4424[[#This Row],[d.b]]</f>
        <v>8.5134703703708681E-2</v>
      </c>
      <c r="L31" s="73">
        <f>K31/K36</f>
        <v>2.7200866269627539</v>
      </c>
      <c r="M31" s="73">
        <f t="shared" ref="M31:M32" si="4">FINV(0.05,I31,I36)</f>
        <v>3.6337234675916301</v>
      </c>
      <c r="N31" s="73">
        <f t="shared" ref="N31:N32" si="5">FINV(0.01,I31,I36)</f>
        <v>6.2262352803113821</v>
      </c>
      <c r="O31" s="72" t="str">
        <f t="shared" ref="O31:O35" si="6">IF(L31&lt;M31,"tidak berbeda nyata","berbeda nyata")</f>
        <v>tidak berbeda nyata</v>
      </c>
    </row>
    <row r="32" spans="1:15" x14ac:dyDescent="0.35">
      <c r="A32" t="s">
        <v>30</v>
      </c>
      <c r="B32">
        <v>4.5</v>
      </c>
      <c r="H32" s="72" t="s">
        <v>41</v>
      </c>
      <c r="I32" s="72">
        <v>8</v>
      </c>
      <c r="J32" s="73">
        <f>I18</f>
        <v>3.197702851851858</v>
      </c>
      <c r="K32" s="73">
        <f>Table4424[[#This Row],[J.K]]/Table4424[[#This Row],[d.b]]</f>
        <v>0.39971285648148225</v>
      </c>
      <c r="L32" s="73">
        <f>K32/K36</f>
        <v>12.770979967514691</v>
      </c>
      <c r="M32" s="73">
        <f t="shared" si="4"/>
        <v>2.3205272350337482</v>
      </c>
      <c r="N32" s="73">
        <f t="shared" si="5"/>
        <v>3.2883985212388325</v>
      </c>
      <c r="O32" s="72" t="str">
        <f t="shared" si="6"/>
        <v>berbeda nyata</v>
      </c>
    </row>
    <row r="33" spans="1:16" x14ac:dyDescent="0.35">
      <c r="A33" t="s">
        <v>31</v>
      </c>
      <c r="B33">
        <v>5.0999999999999996</v>
      </c>
      <c r="H33" s="72" t="s">
        <v>76</v>
      </c>
      <c r="I33" s="72">
        <v>2</v>
      </c>
      <c r="J33" s="73">
        <f>N15</f>
        <v>1.0137536851851934</v>
      </c>
      <c r="K33" s="73">
        <f>Table4424[[#This Row],[J.K]]/Table4424[[#This Row],[d.b]]</f>
        <v>0.50687684259259669</v>
      </c>
      <c r="L33" s="73">
        <f>K33/K36</f>
        <v>16.194910665944626</v>
      </c>
      <c r="M33" s="73">
        <f>FINV(0.05,I33,I36)</f>
        <v>3.6337234675916301</v>
      </c>
      <c r="N33" s="73">
        <f>FINV(0.01,I33,I36)</f>
        <v>6.2262352803113821</v>
      </c>
      <c r="O33" s="72" t="str">
        <f t="shared" si="6"/>
        <v>berbeda nyata</v>
      </c>
    </row>
    <row r="34" spans="1:16" x14ac:dyDescent="0.35">
      <c r="A34" t="s">
        <v>32</v>
      </c>
      <c r="B34">
        <v>4.5</v>
      </c>
      <c r="H34" s="72" t="s">
        <v>239</v>
      </c>
      <c r="I34" s="72">
        <v>2</v>
      </c>
      <c r="J34" s="73">
        <f>N16</f>
        <v>1.1878189074074186</v>
      </c>
      <c r="K34" s="73">
        <f>Table4424[[#This Row],[J.K]]/Table4424[[#This Row],[d.b]]</f>
        <v>0.59390945370370929</v>
      </c>
      <c r="L34" s="73">
        <f>K34/K36</f>
        <v>18.97563616675675</v>
      </c>
      <c r="M34" s="73">
        <f>FINV(0.05,I34,I36)</f>
        <v>3.6337234675916301</v>
      </c>
      <c r="N34" s="73">
        <f>FINV(0.01,I34,I36)</f>
        <v>6.2262352803113821</v>
      </c>
      <c r="O34" s="72" t="str">
        <f t="shared" si="6"/>
        <v>berbeda nyata</v>
      </c>
    </row>
    <row r="35" spans="1:16" x14ac:dyDescent="0.35">
      <c r="A35" t="s">
        <v>3</v>
      </c>
      <c r="B35">
        <v>4.5999999999999996</v>
      </c>
      <c r="H35" s="79" t="s">
        <v>240</v>
      </c>
      <c r="I35" s="79">
        <v>4</v>
      </c>
      <c r="J35" s="80">
        <f>N17</f>
        <v>0.99613025925924603</v>
      </c>
      <c r="K35" s="80">
        <f>Table4424[[#This Row],[J.K]]/Table4424[[#This Row],[d.b]]</f>
        <v>0.24903256481481151</v>
      </c>
      <c r="L35" s="80">
        <f>K35/K36</f>
        <v>7.956686518678695</v>
      </c>
      <c r="M35" s="80">
        <f>FINV(0.05,I35,I36)</f>
        <v>3.0069172799243447</v>
      </c>
      <c r="N35" s="80">
        <f>FINV(0.01,I35,I36)</f>
        <v>4.772577999723211</v>
      </c>
      <c r="O35" s="79" t="str">
        <f t="shared" si="6"/>
        <v>berbeda nyata</v>
      </c>
    </row>
    <row r="36" spans="1:16" x14ac:dyDescent="0.35">
      <c r="A36" t="s">
        <v>4</v>
      </c>
      <c r="B36">
        <v>4.5</v>
      </c>
      <c r="H36" t="s">
        <v>96</v>
      </c>
      <c r="I36">
        <v>16</v>
      </c>
      <c r="J36" s="3">
        <f>I19</f>
        <v>0.50077642592593463</v>
      </c>
      <c r="K36" s="3">
        <f>Table4424[[#This Row],[J.K]]/Table4424[[#This Row],[d.b]]</f>
        <v>3.1298526620370914E-2</v>
      </c>
      <c r="L36" s="3"/>
      <c r="M36" s="3"/>
      <c r="N36" s="3"/>
    </row>
    <row r="37" spans="1:16" x14ac:dyDescent="0.35">
      <c r="A37" t="s">
        <v>5</v>
      </c>
      <c r="B37">
        <v>4.7</v>
      </c>
      <c r="H37" t="s">
        <v>54</v>
      </c>
      <c r="I37">
        <v>26</v>
      </c>
      <c r="J37" s="3">
        <f>I16</f>
        <v>3.86874868518521</v>
      </c>
      <c r="K37" s="3">
        <f>Table4424[[#This Row],[J.K]]/Table4424[[#This Row],[d.b]]</f>
        <v>0.1487980263532773</v>
      </c>
      <c r="L37" s="3"/>
      <c r="M37" s="3"/>
      <c r="N37" s="3"/>
    </row>
    <row r="38" spans="1:16" x14ac:dyDescent="0.35">
      <c r="A38" t="s">
        <v>6</v>
      </c>
      <c r="B38">
        <v>4.7</v>
      </c>
    </row>
    <row r="39" spans="1:16" x14ac:dyDescent="0.35">
      <c r="A39" t="s">
        <v>7</v>
      </c>
      <c r="B39">
        <v>4.7</v>
      </c>
      <c r="H39" t="s">
        <v>97</v>
      </c>
      <c r="I39" t="s">
        <v>255</v>
      </c>
    </row>
    <row r="40" spans="1:16" x14ac:dyDescent="0.35">
      <c r="A40" t="s">
        <v>8</v>
      </c>
      <c r="B40">
        <v>4.8</v>
      </c>
      <c r="H40" t="s">
        <v>85</v>
      </c>
      <c r="I40" s="66">
        <f>5.03*(SQRT(K36/L16))</f>
        <v>0.51377066614373856</v>
      </c>
    </row>
    <row r="41" spans="1:16" x14ac:dyDescent="0.35">
      <c r="A41" t="s">
        <v>9</v>
      </c>
      <c r="B41">
        <v>4.7</v>
      </c>
    </row>
    <row r="42" spans="1:16" x14ac:dyDescent="0.35">
      <c r="A42" t="s">
        <v>10</v>
      </c>
      <c r="B42">
        <v>4.8</v>
      </c>
      <c r="H42" t="s">
        <v>47</v>
      </c>
      <c r="I42" s="2">
        <v>1.1495</v>
      </c>
      <c r="J42" t="s">
        <v>87</v>
      </c>
      <c r="K42" s="66">
        <f t="shared" ref="K42:K50" si="7">I42+$I$40</f>
        <v>1.6632706661437386</v>
      </c>
      <c r="M42" t="s">
        <v>45</v>
      </c>
      <c r="N42" s="2">
        <v>1.452</v>
      </c>
      <c r="O42" t="s">
        <v>90</v>
      </c>
      <c r="P42">
        <v>1.9657706661437384</v>
      </c>
    </row>
    <row r="43" spans="1:16" x14ac:dyDescent="0.35">
      <c r="A43" t="s">
        <v>33</v>
      </c>
      <c r="B43">
        <v>4.4000000000000004</v>
      </c>
      <c r="H43" t="s">
        <v>46</v>
      </c>
      <c r="I43" s="2">
        <v>1.331</v>
      </c>
      <c r="J43" t="s">
        <v>87</v>
      </c>
      <c r="K43" s="66">
        <f t="shared" si="7"/>
        <v>1.8447706661437384</v>
      </c>
      <c r="M43" t="s">
        <v>48</v>
      </c>
      <c r="N43" s="2">
        <v>1.5427499999999998</v>
      </c>
      <c r="O43" t="s">
        <v>90</v>
      </c>
      <c r="P43">
        <v>2.0565206661437383</v>
      </c>
    </row>
    <row r="44" spans="1:16" x14ac:dyDescent="0.35">
      <c r="A44" t="s">
        <v>12</v>
      </c>
      <c r="B44">
        <v>4.5</v>
      </c>
      <c r="H44" t="s">
        <v>51</v>
      </c>
      <c r="I44" s="2">
        <v>1.4217499999999998</v>
      </c>
      <c r="J44" t="s">
        <v>90</v>
      </c>
      <c r="K44" s="66">
        <f t="shared" si="7"/>
        <v>1.9355206661437383</v>
      </c>
      <c r="M44" t="s">
        <v>51</v>
      </c>
      <c r="N44" s="2">
        <v>1.4217499999999998</v>
      </c>
      <c r="O44" t="s">
        <v>90</v>
      </c>
      <c r="P44">
        <v>1.9355206661437383</v>
      </c>
    </row>
    <row r="45" spans="1:16" x14ac:dyDescent="0.35">
      <c r="A45" t="s">
        <v>13</v>
      </c>
      <c r="B45">
        <v>4.5</v>
      </c>
      <c r="H45" t="s">
        <v>53</v>
      </c>
      <c r="I45" s="2">
        <v>1.4217499999999998</v>
      </c>
      <c r="J45" t="s">
        <v>90</v>
      </c>
      <c r="K45" s="66">
        <f t="shared" si="7"/>
        <v>1.9355206661437383</v>
      </c>
      <c r="M45" t="s">
        <v>46</v>
      </c>
      <c r="N45" s="2">
        <v>1.331</v>
      </c>
      <c r="O45" t="s">
        <v>87</v>
      </c>
      <c r="P45">
        <v>1.8447706661437384</v>
      </c>
    </row>
    <row r="46" spans="1:16" x14ac:dyDescent="0.35">
      <c r="A46" t="s">
        <v>15</v>
      </c>
      <c r="B46">
        <v>4.0999999999999996</v>
      </c>
      <c r="H46" t="s">
        <v>45</v>
      </c>
      <c r="I46" s="2">
        <v>1.452</v>
      </c>
      <c r="J46" t="s">
        <v>90</v>
      </c>
      <c r="K46" s="66">
        <f t="shared" si="7"/>
        <v>1.9657706661437384</v>
      </c>
      <c r="M46" t="s">
        <v>49</v>
      </c>
      <c r="N46" s="2">
        <v>2.9947499999999998</v>
      </c>
      <c r="O46" t="s">
        <v>89</v>
      </c>
      <c r="P46">
        <v>3.5085206661437383</v>
      </c>
    </row>
    <row r="47" spans="1:16" x14ac:dyDescent="0.35">
      <c r="A47" t="s">
        <v>16</v>
      </c>
      <c r="B47">
        <v>4.5</v>
      </c>
      <c r="H47" t="s">
        <v>50</v>
      </c>
      <c r="I47" s="2">
        <v>1.5124999999999997</v>
      </c>
      <c r="J47" t="s">
        <v>90</v>
      </c>
      <c r="K47" s="66">
        <f t="shared" si="7"/>
        <v>2.0262706661437382</v>
      </c>
      <c r="M47" t="s">
        <v>52</v>
      </c>
      <c r="N47" s="2">
        <v>1.9057500000000001</v>
      </c>
      <c r="O47" t="s">
        <v>88</v>
      </c>
      <c r="P47">
        <v>2.4195206661437387</v>
      </c>
    </row>
    <row r="48" spans="1:16" x14ac:dyDescent="0.35">
      <c r="A48" t="s">
        <v>14</v>
      </c>
      <c r="B48">
        <v>4.5</v>
      </c>
      <c r="H48" t="s">
        <v>48</v>
      </c>
      <c r="I48" s="2">
        <v>1.5427499999999998</v>
      </c>
      <c r="J48" t="s">
        <v>90</v>
      </c>
      <c r="K48" s="66">
        <f t="shared" si="7"/>
        <v>2.0565206661437383</v>
      </c>
      <c r="M48" t="s">
        <v>47</v>
      </c>
      <c r="N48" s="2">
        <v>1.1495</v>
      </c>
      <c r="O48" t="s">
        <v>87</v>
      </c>
      <c r="P48">
        <v>1.6632706661437386</v>
      </c>
    </row>
    <row r="49" spans="1:20" x14ac:dyDescent="0.35">
      <c r="A49" t="s">
        <v>17</v>
      </c>
      <c r="B49">
        <v>4.8</v>
      </c>
      <c r="H49" t="s">
        <v>52</v>
      </c>
      <c r="I49" s="2">
        <v>1.9057500000000001</v>
      </c>
      <c r="J49" t="s">
        <v>88</v>
      </c>
      <c r="K49" s="66">
        <f t="shared" si="7"/>
        <v>2.4195206661437387</v>
      </c>
      <c r="M49" t="s">
        <v>50</v>
      </c>
      <c r="N49" s="2">
        <v>1.5124999999999997</v>
      </c>
      <c r="O49" t="s">
        <v>90</v>
      </c>
      <c r="P49">
        <v>2.0262706661437382</v>
      </c>
    </row>
    <row r="50" spans="1:20" x14ac:dyDescent="0.35">
      <c r="A50" t="s">
        <v>18</v>
      </c>
      <c r="B50">
        <v>4.5999999999999996</v>
      </c>
      <c r="H50" t="s">
        <v>49</v>
      </c>
      <c r="I50" s="2">
        <v>2.9947499999999998</v>
      </c>
      <c r="J50" t="s">
        <v>89</v>
      </c>
      <c r="K50" s="66">
        <f t="shared" si="7"/>
        <v>3.5085206661437383</v>
      </c>
      <c r="M50" t="s">
        <v>53</v>
      </c>
      <c r="N50" s="2">
        <v>1.4217499999999998</v>
      </c>
      <c r="O50" t="s">
        <v>90</v>
      </c>
      <c r="P50">
        <v>1.9355206661437383</v>
      </c>
    </row>
    <row r="51" spans="1:20" x14ac:dyDescent="0.35">
      <c r="A51" t="s">
        <v>19</v>
      </c>
      <c r="B51">
        <v>4.5999999999999996</v>
      </c>
    </row>
    <row r="52" spans="1:20" x14ac:dyDescent="0.35">
      <c r="A52" t="s">
        <v>20</v>
      </c>
      <c r="B52">
        <v>4.5999999999999996</v>
      </c>
    </row>
    <row r="53" spans="1:20" x14ac:dyDescent="0.35">
      <c r="A53" t="s">
        <v>21</v>
      </c>
      <c r="B53">
        <v>4.5</v>
      </c>
      <c r="I53" s="11" t="s">
        <v>219</v>
      </c>
      <c r="J53" s="11" t="s">
        <v>220</v>
      </c>
      <c r="K53" s="11" t="s">
        <v>221</v>
      </c>
    </row>
    <row r="54" spans="1:20" x14ac:dyDescent="0.35">
      <c r="A54" t="s">
        <v>22</v>
      </c>
      <c r="B54">
        <v>4.5</v>
      </c>
      <c r="H54" t="s">
        <v>216</v>
      </c>
      <c r="I54" s="27">
        <f>N42</f>
        <v>1.452</v>
      </c>
      <c r="J54" s="27">
        <f>N45</f>
        <v>1.331</v>
      </c>
      <c r="K54" s="27">
        <f>N48</f>
        <v>1.1495</v>
      </c>
    </row>
    <row r="55" spans="1:20" x14ac:dyDescent="0.35">
      <c r="A55" t="s">
        <v>23</v>
      </c>
      <c r="B55">
        <v>4.8</v>
      </c>
      <c r="H55" t="s">
        <v>217</v>
      </c>
      <c r="I55" s="27">
        <f>N43</f>
        <v>1.5427499999999998</v>
      </c>
      <c r="J55" s="27">
        <f>N46</f>
        <v>2.9947499999999998</v>
      </c>
      <c r="K55" s="27">
        <f>N49</f>
        <v>1.5124999999999997</v>
      </c>
    </row>
    <row r="56" spans="1:20" x14ac:dyDescent="0.35">
      <c r="A56" t="s">
        <v>24</v>
      </c>
      <c r="B56">
        <v>4.8</v>
      </c>
      <c r="H56" t="s">
        <v>218</v>
      </c>
      <c r="I56" s="27">
        <f>N44</f>
        <v>1.4217499999999998</v>
      </c>
      <c r="J56" s="27">
        <f>N47</f>
        <v>1.9057500000000001</v>
      </c>
      <c r="K56" s="27">
        <f>N50</f>
        <v>1.4217499999999998</v>
      </c>
    </row>
    <row r="57" spans="1:20" x14ac:dyDescent="0.35">
      <c r="A57" t="s">
        <v>25</v>
      </c>
      <c r="B57">
        <v>5</v>
      </c>
      <c r="R57" s="11"/>
      <c r="S57" s="11"/>
      <c r="T57" s="11"/>
    </row>
    <row r="59" spans="1:20" x14ac:dyDescent="0.35">
      <c r="A59" s="1" t="s">
        <v>34</v>
      </c>
    </row>
    <row r="60" spans="1:20" x14ac:dyDescent="0.35">
      <c r="A60" t="s">
        <v>29</v>
      </c>
      <c r="B60">
        <v>1.7</v>
      </c>
    </row>
    <row r="61" spans="1:20" x14ac:dyDescent="0.35">
      <c r="A61" t="s">
        <v>30</v>
      </c>
      <c r="B61">
        <v>2</v>
      </c>
    </row>
    <row r="62" spans="1:20" x14ac:dyDescent="0.35">
      <c r="A62" t="s">
        <v>31</v>
      </c>
      <c r="B62">
        <v>0.1</v>
      </c>
    </row>
    <row r="63" spans="1:20" x14ac:dyDescent="0.35">
      <c r="A63" t="s">
        <v>32</v>
      </c>
      <c r="B63">
        <v>1.1000000000000001</v>
      </c>
    </row>
    <row r="64" spans="1:20" x14ac:dyDescent="0.35">
      <c r="A64" t="s">
        <v>3</v>
      </c>
      <c r="B64">
        <v>1.1000000000000001</v>
      </c>
    </row>
    <row r="65" spans="1:2" x14ac:dyDescent="0.35">
      <c r="A65" t="s">
        <v>4</v>
      </c>
      <c r="B65">
        <v>1</v>
      </c>
    </row>
    <row r="66" spans="1:2" x14ac:dyDescent="0.35">
      <c r="A66" t="s">
        <v>5</v>
      </c>
      <c r="B66">
        <v>0.7</v>
      </c>
    </row>
    <row r="67" spans="1:2" x14ac:dyDescent="0.35">
      <c r="A67" t="s">
        <v>6</v>
      </c>
      <c r="B67">
        <v>0.7</v>
      </c>
    </row>
    <row r="68" spans="1:2" x14ac:dyDescent="0.35">
      <c r="A68" t="s">
        <v>7</v>
      </c>
      <c r="B68">
        <v>1.3</v>
      </c>
    </row>
    <row r="69" spans="1:2" x14ac:dyDescent="0.35">
      <c r="A69" t="s">
        <v>8</v>
      </c>
      <c r="B69">
        <v>0.8</v>
      </c>
    </row>
    <row r="70" spans="1:2" x14ac:dyDescent="0.35">
      <c r="A70" t="s">
        <v>9</v>
      </c>
      <c r="B70">
        <v>0.7</v>
      </c>
    </row>
    <row r="71" spans="1:2" x14ac:dyDescent="0.35">
      <c r="A71" t="s">
        <v>10</v>
      </c>
      <c r="B71">
        <v>0.7</v>
      </c>
    </row>
    <row r="72" spans="1:2" x14ac:dyDescent="0.35">
      <c r="A72" t="s">
        <v>33</v>
      </c>
      <c r="B72">
        <v>0.9</v>
      </c>
    </row>
    <row r="73" spans="1:2" x14ac:dyDescent="0.35">
      <c r="A73" t="s">
        <v>12</v>
      </c>
      <c r="B73">
        <v>0.4</v>
      </c>
    </row>
    <row r="74" spans="1:2" x14ac:dyDescent="0.35">
      <c r="A74" t="s">
        <v>13</v>
      </c>
      <c r="B74">
        <v>0.6</v>
      </c>
    </row>
    <row r="75" spans="1:2" x14ac:dyDescent="0.35">
      <c r="A75" t="s">
        <v>15</v>
      </c>
      <c r="B75">
        <v>0.4</v>
      </c>
    </row>
    <row r="76" spans="1:2" x14ac:dyDescent="0.35">
      <c r="A76" t="s">
        <v>16</v>
      </c>
      <c r="B76">
        <v>0.3</v>
      </c>
    </row>
    <row r="77" spans="1:2" x14ac:dyDescent="0.35">
      <c r="A77" t="s">
        <v>14</v>
      </c>
      <c r="B77">
        <v>0.7</v>
      </c>
    </row>
    <row r="78" spans="1:2" x14ac:dyDescent="0.35">
      <c r="A78" t="s">
        <v>17</v>
      </c>
      <c r="B78">
        <v>0.6</v>
      </c>
    </row>
    <row r="79" spans="1:2" x14ac:dyDescent="0.35">
      <c r="A79" t="s">
        <v>18</v>
      </c>
      <c r="B79">
        <v>0.6</v>
      </c>
    </row>
    <row r="80" spans="1:2" x14ac:dyDescent="0.35">
      <c r="A80" t="s">
        <v>19</v>
      </c>
      <c r="B80">
        <v>0.8</v>
      </c>
    </row>
    <row r="81" spans="1:2" x14ac:dyDescent="0.35">
      <c r="A81" t="s">
        <v>20</v>
      </c>
      <c r="B81">
        <v>0.3</v>
      </c>
    </row>
    <row r="82" spans="1:2" x14ac:dyDescent="0.35">
      <c r="A82" t="s">
        <v>21</v>
      </c>
      <c r="B82">
        <v>0.3</v>
      </c>
    </row>
    <row r="83" spans="1:2" x14ac:dyDescent="0.35">
      <c r="A83" t="s">
        <v>22</v>
      </c>
      <c r="B83">
        <v>0.8</v>
      </c>
    </row>
    <row r="84" spans="1:2" x14ac:dyDescent="0.35">
      <c r="A84" t="s">
        <v>23</v>
      </c>
      <c r="B84">
        <v>0.4</v>
      </c>
    </row>
    <row r="85" spans="1:2" x14ac:dyDescent="0.35">
      <c r="A85" t="s">
        <v>24</v>
      </c>
      <c r="B85">
        <v>0.3</v>
      </c>
    </row>
    <row r="86" spans="1:2" x14ac:dyDescent="0.35">
      <c r="A86" t="s">
        <v>25</v>
      </c>
      <c r="B86">
        <v>0.3</v>
      </c>
    </row>
    <row r="88" spans="1:2" x14ac:dyDescent="0.35">
      <c r="A88" s="1" t="s">
        <v>36</v>
      </c>
    </row>
    <row r="89" spans="1:2" x14ac:dyDescent="0.35">
      <c r="A89" t="s">
        <v>29</v>
      </c>
      <c r="B89">
        <v>42</v>
      </c>
    </row>
    <row r="90" spans="1:2" x14ac:dyDescent="0.35">
      <c r="A90" t="s">
        <v>30</v>
      </c>
      <c r="B90">
        <v>41</v>
      </c>
    </row>
    <row r="91" spans="1:2" x14ac:dyDescent="0.35">
      <c r="A91" t="s">
        <v>31</v>
      </c>
      <c r="B91">
        <v>42.5</v>
      </c>
    </row>
    <row r="92" spans="1:2" x14ac:dyDescent="0.35">
      <c r="A92" t="s">
        <v>8</v>
      </c>
      <c r="B92">
        <v>41</v>
      </c>
    </row>
    <row r="93" spans="1:2" x14ac:dyDescent="0.35">
      <c r="A93" t="s">
        <v>9</v>
      </c>
      <c r="B93">
        <v>41</v>
      </c>
    </row>
    <row r="94" spans="1:2" x14ac:dyDescent="0.35">
      <c r="A94" t="s">
        <v>10</v>
      </c>
      <c r="B94">
        <v>40</v>
      </c>
    </row>
    <row r="95" spans="1:2" x14ac:dyDescent="0.35">
      <c r="A95" t="s">
        <v>17</v>
      </c>
      <c r="B95">
        <v>38</v>
      </c>
    </row>
    <row r="96" spans="1:2" x14ac:dyDescent="0.35">
      <c r="A96" t="s">
        <v>18</v>
      </c>
      <c r="B96">
        <v>38</v>
      </c>
    </row>
    <row r="97" spans="1:2" x14ac:dyDescent="0.35">
      <c r="A97" t="s">
        <v>19</v>
      </c>
      <c r="B97">
        <v>40</v>
      </c>
    </row>
    <row r="98" spans="1:2" x14ac:dyDescent="0.35">
      <c r="A98" t="s">
        <v>32</v>
      </c>
      <c r="B98">
        <v>43</v>
      </c>
    </row>
    <row r="99" spans="1:2" x14ac:dyDescent="0.35">
      <c r="A99" t="s">
        <v>3</v>
      </c>
      <c r="B99">
        <v>40</v>
      </c>
    </row>
    <row r="100" spans="1:2" x14ac:dyDescent="0.35">
      <c r="A100" t="s">
        <v>4</v>
      </c>
      <c r="B100">
        <v>43</v>
      </c>
    </row>
    <row r="101" spans="1:2" x14ac:dyDescent="0.35">
      <c r="A101" t="s">
        <v>33</v>
      </c>
      <c r="B101">
        <v>40</v>
      </c>
    </row>
    <row r="102" spans="1:2" x14ac:dyDescent="0.35">
      <c r="A102" t="s">
        <v>12</v>
      </c>
      <c r="B102">
        <v>40.5</v>
      </c>
    </row>
    <row r="103" spans="1:2" x14ac:dyDescent="0.35">
      <c r="A103" t="s">
        <v>13</v>
      </c>
      <c r="B103">
        <v>40.5</v>
      </c>
    </row>
    <row r="104" spans="1:2" x14ac:dyDescent="0.35">
      <c r="A104" t="s">
        <v>20</v>
      </c>
      <c r="B104">
        <v>40</v>
      </c>
    </row>
    <row r="105" spans="1:2" x14ac:dyDescent="0.35">
      <c r="A105" t="s">
        <v>21</v>
      </c>
      <c r="B105">
        <v>40</v>
      </c>
    </row>
    <row r="106" spans="1:2" x14ac:dyDescent="0.35">
      <c r="A106" t="s">
        <v>22</v>
      </c>
      <c r="B106">
        <v>39</v>
      </c>
    </row>
    <row r="107" spans="1:2" x14ac:dyDescent="0.35">
      <c r="A107" t="s">
        <v>5</v>
      </c>
      <c r="B107">
        <v>41.5</v>
      </c>
    </row>
    <row r="108" spans="1:2" x14ac:dyDescent="0.35">
      <c r="A108" t="s">
        <v>6</v>
      </c>
      <c r="B108">
        <v>41.5</v>
      </c>
    </row>
    <row r="109" spans="1:2" x14ac:dyDescent="0.35">
      <c r="A109" t="s">
        <v>7</v>
      </c>
      <c r="B109">
        <v>42</v>
      </c>
    </row>
    <row r="110" spans="1:2" x14ac:dyDescent="0.35">
      <c r="A110" t="s">
        <v>15</v>
      </c>
      <c r="B110">
        <v>41.5</v>
      </c>
    </row>
    <row r="111" spans="1:2" x14ac:dyDescent="0.35">
      <c r="A111" t="s">
        <v>16</v>
      </c>
      <c r="B111">
        <v>41</v>
      </c>
    </row>
    <row r="112" spans="1:2" x14ac:dyDescent="0.35">
      <c r="A112" t="s">
        <v>14</v>
      </c>
      <c r="B112">
        <v>41</v>
      </c>
    </row>
    <row r="113" spans="1:4" x14ac:dyDescent="0.35">
      <c r="A113" t="s">
        <v>23</v>
      </c>
      <c r="B113">
        <v>41</v>
      </c>
    </row>
    <row r="114" spans="1:4" x14ac:dyDescent="0.35">
      <c r="A114" t="s">
        <v>24</v>
      </c>
      <c r="B114">
        <v>41</v>
      </c>
    </row>
    <row r="115" spans="1:4" x14ac:dyDescent="0.35">
      <c r="A115" t="s">
        <v>25</v>
      </c>
      <c r="B115">
        <v>41</v>
      </c>
    </row>
    <row r="116" spans="1:4" x14ac:dyDescent="0.35">
      <c r="A116" s="1" t="s">
        <v>35</v>
      </c>
    </row>
    <row r="117" spans="1:4" x14ac:dyDescent="0.35">
      <c r="A117" s="1" t="s">
        <v>37</v>
      </c>
      <c r="B117" s="1" t="s">
        <v>38</v>
      </c>
      <c r="C117" s="1" t="s">
        <v>39</v>
      </c>
      <c r="D117" s="1" t="s">
        <v>40</v>
      </c>
    </row>
    <row r="118" spans="1:4" x14ac:dyDescent="0.35">
      <c r="A118" s="1" t="s">
        <v>29</v>
      </c>
      <c r="B118" s="1">
        <v>30.69</v>
      </c>
      <c r="C118" s="1">
        <v>2.96</v>
      </c>
      <c r="D118" s="1">
        <v>19.13</v>
      </c>
    </row>
    <row r="119" spans="1:4" x14ac:dyDescent="0.35">
      <c r="A119" s="1" t="s">
        <v>30</v>
      </c>
      <c r="B119" s="1">
        <v>30.92</v>
      </c>
      <c r="C119" s="1">
        <v>4.28</v>
      </c>
      <c r="D119" s="1">
        <v>18.03</v>
      </c>
    </row>
    <row r="120" spans="1:4" x14ac:dyDescent="0.35">
      <c r="A120" s="1" t="s">
        <v>31</v>
      </c>
      <c r="B120" s="1">
        <v>34.47</v>
      </c>
      <c r="C120" s="1">
        <v>17.62</v>
      </c>
      <c r="D120" s="1">
        <v>29.8</v>
      </c>
    </row>
    <row r="121" spans="1:4" x14ac:dyDescent="0.35">
      <c r="A121" s="1" t="s">
        <v>8</v>
      </c>
      <c r="B121" s="1">
        <v>26.91</v>
      </c>
      <c r="C121" s="1">
        <v>2.67</v>
      </c>
      <c r="D121" s="1">
        <v>27.06</v>
      </c>
    </row>
    <row r="122" spans="1:4" x14ac:dyDescent="0.35">
      <c r="A122" s="1" t="s">
        <v>9</v>
      </c>
      <c r="B122" s="1">
        <v>30.68</v>
      </c>
      <c r="C122" s="1">
        <v>3.2</v>
      </c>
      <c r="D122" s="1">
        <v>16.670000000000002</v>
      </c>
    </row>
    <row r="123" spans="1:4" x14ac:dyDescent="0.35">
      <c r="A123" s="1" t="s">
        <v>10</v>
      </c>
      <c r="B123" s="1">
        <v>32.450000000000003</v>
      </c>
      <c r="C123" s="1">
        <v>13.56</v>
      </c>
      <c r="D123" s="1">
        <v>27.8</v>
      </c>
    </row>
    <row r="124" spans="1:4" x14ac:dyDescent="0.35">
      <c r="A124" s="1" t="s">
        <v>17</v>
      </c>
      <c r="B124" s="1">
        <v>35.159999999999997</v>
      </c>
      <c r="C124" s="1">
        <v>13.61</v>
      </c>
      <c r="D124" s="1">
        <v>27.06</v>
      </c>
    </row>
    <row r="125" spans="1:4" x14ac:dyDescent="0.35">
      <c r="A125" s="1" t="s">
        <v>18</v>
      </c>
      <c r="B125" s="1">
        <v>36.369999999999997</v>
      </c>
      <c r="C125" s="1">
        <v>16.18</v>
      </c>
      <c r="D125" s="1">
        <v>30.36</v>
      </c>
    </row>
    <row r="126" spans="1:4" x14ac:dyDescent="0.35">
      <c r="A126" s="1" t="s">
        <v>19</v>
      </c>
      <c r="B126" s="1">
        <v>30.25</v>
      </c>
      <c r="C126" s="1">
        <v>2.59</v>
      </c>
      <c r="D126" s="1">
        <v>18.79</v>
      </c>
    </row>
    <row r="127" spans="1:4" x14ac:dyDescent="0.35">
      <c r="A127" s="1" t="s">
        <v>32</v>
      </c>
      <c r="B127" s="1">
        <v>30.52</v>
      </c>
      <c r="C127" s="1">
        <v>2.62</v>
      </c>
      <c r="D127" s="1">
        <v>18.32</v>
      </c>
    </row>
    <row r="128" spans="1:4" x14ac:dyDescent="0.35">
      <c r="A128" s="1" t="s">
        <v>3</v>
      </c>
      <c r="B128" s="1">
        <v>30.4</v>
      </c>
      <c r="C128" s="1">
        <v>2.59</v>
      </c>
      <c r="D128" s="1">
        <v>16.82</v>
      </c>
    </row>
    <row r="129" spans="1:4" x14ac:dyDescent="0.35">
      <c r="A129" s="1" t="s">
        <v>4</v>
      </c>
      <c r="B129" s="1">
        <v>30.68</v>
      </c>
      <c r="C129" s="1">
        <v>3.78</v>
      </c>
      <c r="D129" s="1">
        <v>16.53</v>
      </c>
    </row>
    <row r="130" spans="1:4" x14ac:dyDescent="0.35">
      <c r="A130" s="1" t="s">
        <v>33</v>
      </c>
      <c r="B130" s="1">
        <v>32.200000000000003</v>
      </c>
      <c r="C130" s="1">
        <v>12.69</v>
      </c>
      <c r="D130" s="1">
        <v>26.95</v>
      </c>
    </row>
    <row r="131" spans="1:4" x14ac:dyDescent="0.35">
      <c r="A131" s="1" t="s">
        <v>12</v>
      </c>
      <c r="B131" s="1">
        <v>32.58</v>
      </c>
      <c r="C131" s="1">
        <v>12.2</v>
      </c>
      <c r="D131" s="1">
        <v>27.35</v>
      </c>
    </row>
    <row r="132" spans="1:4" x14ac:dyDescent="0.35">
      <c r="A132" s="1" t="s">
        <v>13</v>
      </c>
      <c r="B132" s="1">
        <v>33.869999999999997</v>
      </c>
      <c r="C132" s="1">
        <v>15.33</v>
      </c>
      <c r="D132" s="1">
        <v>29.47</v>
      </c>
    </row>
    <row r="133" spans="1:4" x14ac:dyDescent="0.35">
      <c r="A133" s="1" t="s">
        <v>20</v>
      </c>
      <c r="B133" s="1">
        <v>32.130000000000003</v>
      </c>
      <c r="C133" s="1">
        <v>10.73</v>
      </c>
      <c r="D133" s="1">
        <v>23.37</v>
      </c>
    </row>
    <row r="134" spans="1:4" x14ac:dyDescent="0.35">
      <c r="A134" s="1" t="s">
        <v>21</v>
      </c>
      <c r="B134" s="1">
        <v>33.81</v>
      </c>
      <c r="C134" s="1">
        <v>12.86</v>
      </c>
      <c r="D134" s="1">
        <v>26.8</v>
      </c>
    </row>
    <row r="135" spans="1:4" x14ac:dyDescent="0.35">
      <c r="A135" s="1" t="s">
        <v>22</v>
      </c>
      <c r="B135" s="1">
        <v>32.5</v>
      </c>
      <c r="C135" s="1">
        <v>8.65</v>
      </c>
      <c r="D135" s="1">
        <v>20.5</v>
      </c>
    </row>
    <row r="136" spans="1:4" x14ac:dyDescent="0.35">
      <c r="A136" s="1" t="s">
        <v>5</v>
      </c>
      <c r="B136" s="1">
        <v>30.83</v>
      </c>
      <c r="C136" s="1">
        <v>3.9</v>
      </c>
      <c r="D136" s="1">
        <v>18</v>
      </c>
    </row>
    <row r="137" spans="1:4" x14ac:dyDescent="0.35">
      <c r="A137" s="1" t="s">
        <v>6</v>
      </c>
      <c r="B137" s="1">
        <v>31.16</v>
      </c>
      <c r="C137" s="1">
        <v>6.71</v>
      </c>
      <c r="D137" s="1">
        <v>20.53</v>
      </c>
    </row>
    <row r="138" spans="1:4" x14ac:dyDescent="0.35">
      <c r="A138" s="1" t="s">
        <v>7</v>
      </c>
      <c r="B138" s="1">
        <v>30.52</v>
      </c>
      <c r="C138" s="1">
        <v>5.67</v>
      </c>
      <c r="D138" s="1">
        <v>19.28</v>
      </c>
    </row>
    <row r="139" spans="1:4" x14ac:dyDescent="0.35">
      <c r="A139" s="1" t="s">
        <v>15</v>
      </c>
      <c r="B139" s="1">
        <v>30.8</v>
      </c>
      <c r="C139" s="1">
        <v>6.3</v>
      </c>
      <c r="D139" s="1">
        <v>20.86</v>
      </c>
    </row>
    <row r="140" spans="1:4" x14ac:dyDescent="0.35">
      <c r="A140" s="1" t="s">
        <v>16</v>
      </c>
      <c r="B140" s="1">
        <v>30.83</v>
      </c>
      <c r="C140" s="1">
        <v>4.96</v>
      </c>
      <c r="D140" s="1">
        <v>18.989999999999998</v>
      </c>
    </row>
    <row r="141" spans="1:4" x14ac:dyDescent="0.35">
      <c r="A141" s="1" t="s">
        <v>14</v>
      </c>
      <c r="B141" s="1">
        <v>29.53</v>
      </c>
      <c r="C141" s="1">
        <v>2.62</v>
      </c>
      <c r="D141" s="1">
        <v>23.28</v>
      </c>
    </row>
    <row r="142" spans="1:4" x14ac:dyDescent="0.35">
      <c r="A142" s="1" t="s">
        <v>23</v>
      </c>
      <c r="B142" s="1">
        <v>39.68</v>
      </c>
      <c r="C142" s="1">
        <v>19.54</v>
      </c>
      <c r="D142" s="1">
        <v>35.97</v>
      </c>
    </row>
    <row r="143" spans="1:4" x14ac:dyDescent="0.35">
      <c r="A143" s="1" t="s">
        <v>25</v>
      </c>
      <c r="B143" s="1">
        <v>32.79</v>
      </c>
      <c r="C143" s="1">
        <v>12.12</v>
      </c>
      <c r="D143" s="1">
        <v>24.16</v>
      </c>
    </row>
    <row r="144" spans="1:4" x14ac:dyDescent="0.35">
      <c r="A144" s="1" t="s">
        <v>25</v>
      </c>
      <c r="B144" s="1">
        <v>37.21</v>
      </c>
      <c r="C144" s="1">
        <v>16.95</v>
      </c>
      <c r="D144" s="1">
        <v>31.97</v>
      </c>
    </row>
  </sheetData>
  <sortState xmlns:xlrd2="http://schemas.microsoft.com/office/spreadsheetml/2017/richdata2" ref="M42:P50">
    <sortCondition ref="M42:M50"/>
  </sortState>
  <phoneticPr fontId="2" type="noConversion"/>
  <conditionalFormatting sqref="I23:K25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I54:K56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26D72-E9D9-4150-841C-3C6B68386D09}">
  <dimension ref="A2:M63"/>
  <sheetViews>
    <sheetView zoomScale="85" zoomScaleNormal="85" workbookViewId="0">
      <selection activeCell="N7" sqref="N7:Q12"/>
    </sheetView>
  </sheetViews>
  <sheetFormatPr defaultRowHeight="14.5" x14ac:dyDescent="0.35"/>
  <cols>
    <col min="1" max="1" width="10.26953125" customWidth="1"/>
    <col min="3" max="3" width="10.26953125" customWidth="1"/>
    <col min="6" max="6" width="18.26953125" customWidth="1"/>
    <col min="7" max="7" width="9.81640625" bestFit="1" customWidth="1"/>
    <col min="9" max="9" width="10.453125" customWidth="1"/>
    <col min="10" max="11" width="11.26953125" customWidth="1"/>
    <col min="12" max="12" width="11.54296875" bestFit="1" customWidth="1"/>
  </cols>
  <sheetData>
    <row r="2" spans="1:12" x14ac:dyDescent="0.35">
      <c r="A2" t="s">
        <v>41</v>
      </c>
      <c r="B2" t="s">
        <v>42</v>
      </c>
      <c r="C2" t="s">
        <v>43</v>
      </c>
      <c r="D2" t="s">
        <v>44</v>
      </c>
      <c r="F2" t="s">
        <v>41</v>
      </c>
      <c r="G2" t="s">
        <v>42</v>
      </c>
      <c r="H2" t="s">
        <v>43</v>
      </c>
      <c r="I2" t="s">
        <v>44</v>
      </c>
      <c r="J2" t="s">
        <v>54</v>
      </c>
      <c r="K2" t="s">
        <v>93</v>
      </c>
      <c r="L2" t="s">
        <v>94</v>
      </c>
    </row>
    <row r="3" spans="1:12" x14ac:dyDescent="0.35">
      <c r="A3" t="s">
        <v>45</v>
      </c>
      <c r="B3">
        <v>5</v>
      </c>
      <c r="C3">
        <v>4.5</v>
      </c>
      <c r="D3">
        <v>5.0999999999999996</v>
      </c>
      <c r="F3" t="s">
        <v>45</v>
      </c>
      <c r="G3">
        <v>5</v>
      </c>
      <c r="H3">
        <v>4.5</v>
      </c>
      <c r="I3">
        <v>5.0999999999999996</v>
      </c>
      <c r="J3">
        <f>SUM(Table7[[#This Row],[U1]:[U3]])</f>
        <v>14.6</v>
      </c>
      <c r="K3" s="2">
        <f>AVERAGE(Table7[[#This Row],[U1]:[U3]])</f>
        <v>4.8666666666666663</v>
      </c>
      <c r="L3" s="2">
        <f>_xlfn.STDEV.P(Table7[[#This Row],[U1]:[U3]])</f>
        <v>0.26246692913372693</v>
      </c>
    </row>
    <row r="4" spans="1:12" x14ac:dyDescent="0.35">
      <c r="A4" t="s">
        <v>46</v>
      </c>
      <c r="B4">
        <v>4.5</v>
      </c>
      <c r="C4">
        <v>4.5999999999999996</v>
      </c>
      <c r="D4">
        <v>4.5</v>
      </c>
      <c r="F4" t="s">
        <v>46</v>
      </c>
      <c r="G4">
        <v>4.5</v>
      </c>
      <c r="H4">
        <v>4.5999999999999996</v>
      </c>
      <c r="I4">
        <v>4.5</v>
      </c>
      <c r="J4">
        <f>SUM(Table7[[#This Row],[U1]:[U3]])</f>
        <v>13.6</v>
      </c>
      <c r="K4" s="2">
        <f>AVERAGE(Table7[[#This Row],[U1]:[U3]])</f>
        <v>4.5333333333333332</v>
      </c>
      <c r="L4" s="2">
        <f>_xlfn.STDEV.P(Table7[[#This Row],[U1]:[U3]])</f>
        <v>4.7140452079103001E-2</v>
      </c>
    </row>
    <row r="5" spans="1:12" x14ac:dyDescent="0.35">
      <c r="A5" t="s">
        <v>47</v>
      </c>
      <c r="B5">
        <v>4.7</v>
      </c>
      <c r="C5">
        <v>4.7</v>
      </c>
      <c r="D5">
        <v>4.7</v>
      </c>
      <c r="F5" t="s">
        <v>47</v>
      </c>
      <c r="G5">
        <v>4.7</v>
      </c>
      <c r="H5">
        <v>4.7</v>
      </c>
      <c r="I5">
        <v>4.7</v>
      </c>
      <c r="J5">
        <f>SUM(Table7[[#This Row],[U1]:[U3]])</f>
        <v>14.100000000000001</v>
      </c>
      <c r="K5" s="2">
        <f>AVERAGE(Table7[[#This Row],[U1]:[U3]])</f>
        <v>4.7</v>
      </c>
      <c r="L5" s="2">
        <f>_xlfn.STDEV.P(Table7[[#This Row],[U1]:[U3]])</f>
        <v>0</v>
      </c>
    </row>
    <row r="6" spans="1:12" x14ac:dyDescent="0.35">
      <c r="A6" t="s">
        <v>48</v>
      </c>
      <c r="B6">
        <v>4.8</v>
      </c>
      <c r="C6">
        <v>4.7</v>
      </c>
      <c r="D6">
        <v>4.8</v>
      </c>
      <c r="F6" t="s">
        <v>48</v>
      </c>
      <c r="G6">
        <v>4.8</v>
      </c>
      <c r="H6">
        <v>4.7</v>
      </c>
      <c r="I6">
        <v>4.8</v>
      </c>
      <c r="J6">
        <f>SUM(Table7[[#This Row],[U1]:[U3]])</f>
        <v>14.3</v>
      </c>
      <c r="K6" s="2">
        <f>AVERAGE(Table7[[#This Row],[U1]:[U3]])</f>
        <v>4.7666666666666666</v>
      </c>
      <c r="L6" s="2">
        <f>_xlfn.STDEV.P(Table7[[#This Row],[U1]:[U3]])</f>
        <v>4.7140452079103001E-2</v>
      </c>
    </row>
    <row r="7" spans="1:12" x14ac:dyDescent="0.35">
      <c r="A7" t="s">
        <v>49</v>
      </c>
      <c r="B7">
        <v>4.4000000000000004</v>
      </c>
      <c r="C7">
        <v>4.5</v>
      </c>
      <c r="D7">
        <v>4.5</v>
      </c>
      <c r="F7" t="s">
        <v>49</v>
      </c>
      <c r="G7">
        <v>4.4000000000000004</v>
      </c>
      <c r="H7">
        <v>4.5</v>
      </c>
      <c r="I7">
        <v>4.5</v>
      </c>
      <c r="J7">
        <f>SUM(Table7[[#This Row],[U1]:[U3]])</f>
        <v>13.4</v>
      </c>
      <c r="K7" s="2">
        <f>AVERAGE(Table7[[#This Row],[U1]:[U3]])</f>
        <v>4.4666666666666668</v>
      </c>
      <c r="L7" s="2">
        <f>_xlfn.STDEV.P(Table7[[#This Row],[U1]:[U3]])</f>
        <v>4.7140452079103001E-2</v>
      </c>
    </row>
    <row r="8" spans="1:12" x14ac:dyDescent="0.35">
      <c r="A8" t="s">
        <v>50</v>
      </c>
      <c r="B8">
        <v>4.0999999999999996</v>
      </c>
      <c r="C8">
        <v>4.5</v>
      </c>
      <c r="D8">
        <v>4.5</v>
      </c>
      <c r="F8" t="s">
        <v>50</v>
      </c>
      <c r="G8">
        <v>4.0999999999999996</v>
      </c>
      <c r="H8">
        <v>4.5</v>
      </c>
      <c r="I8">
        <v>4.5</v>
      </c>
      <c r="J8">
        <f>SUM(Table7[[#This Row],[U1]:[U3]])</f>
        <v>13.1</v>
      </c>
      <c r="K8" s="2">
        <f>AVERAGE(Table7[[#This Row],[U1]:[U3]])</f>
        <v>4.3666666666666663</v>
      </c>
      <c r="L8" s="2">
        <f>_xlfn.STDEV.P(Table7[[#This Row],[U1]:[U3]])</f>
        <v>0.18856180831641287</v>
      </c>
    </row>
    <row r="9" spans="1:12" x14ac:dyDescent="0.35">
      <c r="A9" t="s">
        <v>51</v>
      </c>
      <c r="B9">
        <v>4.8</v>
      </c>
      <c r="C9">
        <v>4.5999999999999996</v>
      </c>
      <c r="D9">
        <v>4.5999999999999996</v>
      </c>
      <c r="F9" t="s">
        <v>51</v>
      </c>
      <c r="G9">
        <v>4.8</v>
      </c>
      <c r="H9">
        <v>4.5999999999999996</v>
      </c>
      <c r="I9">
        <v>4.5999999999999996</v>
      </c>
      <c r="J9">
        <f>SUM(Table7[[#This Row],[U1]:[U3]])</f>
        <v>13.999999999999998</v>
      </c>
      <c r="K9" s="2">
        <f>AVERAGE(Table7[[#This Row],[U1]:[U3]])</f>
        <v>4.6666666666666661</v>
      </c>
      <c r="L9" s="2">
        <f>_xlfn.STDEV.P(Table7[[#This Row],[U1]:[U3]])</f>
        <v>9.4280904158206433E-2</v>
      </c>
    </row>
    <row r="10" spans="1:12" x14ac:dyDescent="0.35">
      <c r="A10" t="s">
        <v>52</v>
      </c>
      <c r="B10">
        <v>4.5999999999999996</v>
      </c>
      <c r="C10">
        <v>4.5999999999999996</v>
      </c>
      <c r="D10">
        <v>4.5999999999999996</v>
      </c>
      <c r="F10" t="s">
        <v>52</v>
      </c>
      <c r="G10">
        <v>4.5999999999999996</v>
      </c>
      <c r="H10">
        <v>4.5999999999999996</v>
      </c>
      <c r="I10">
        <v>4.5999999999999996</v>
      </c>
      <c r="J10">
        <f>SUM(Table7[[#This Row],[U1]:[U3]])</f>
        <v>13.799999999999999</v>
      </c>
      <c r="K10" s="2">
        <f>AVERAGE(Table7[[#This Row],[U1]:[U3]])</f>
        <v>4.5999999999999996</v>
      </c>
      <c r="L10" s="2">
        <f>_xlfn.STDEV.P(Table7[[#This Row],[U1]:[U3]])</f>
        <v>0</v>
      </c>
    </row>
    <row r="11" spans="1:12" x14ac:dyDescent="0.35">
      <c r="A11" t="s">
        <v>53</v>
      </c>
      <c r="B11">
        <v>4.8</v>
      </c>
      <c r="C11">
        <v>4.8</v>
      </c>
      <c r="D11">
        <v>5</v>
      </c>
      <c r="F11" t="s">
        <v>53</v>
      </c>
      <c r="G11">
        <v>4.8</v>
      </c>
      <c r="H11">
        <v>4.8</v>
      </c>
      <c r="I11">
        <v>5</v>
      </c>
      <c r="J11">
        <f>SUM(Table7[[#This Row],[U1]:[U3]])</f>
        <v>14.6</v>
      </c>
      <c r="K11" s="2">
        <f>AVERAGE(Table7[[#This Row],[U1]:[U3]])</f>
        <v>4.8666666666666663</v>
      </c>
      <c r="L11" s="2">
        <f>_xlfn.STDEV.P(Table7[[#This Row],[U1]:[U3]])</f>
        <v>9.4280904158206419E-2</v>
      </c>
    </row>
    <row r="12" spans="1:12" x14ac:dyDescent="0.35">
      <c r="F12" t="s">
        <v>54</v>
      </c>
      <c r="G12">
        <f>SUM(G3:G11)</f>
        <v>41.699999999999996</v>
      </c>
      <c r="H12">
        <f>SUM(H3:H11)</f>
        <v>41.5</v>
      </c>
      <c r="I12">
        <f>SUM(I3:I11)</f>
        <v>42.300000000000004</v>
      </c>
      <c r="J12" s="5">
        <f>SUM(J3:J11)</f>
        <v>125.49999999999999</v>
      </c>
    </row>
    <row r="13" spans="1:12" x14ac:dyDescent="0.35">
      <c r="F13" t="s">
        <v>93</v>
      </c>
      <c r="G13" s="4">
        <f>AVERAGE(G3:G11)</f>
        <v>4.6333333333333329</v>
      </c>
      <c r="H13" s="4">
        <f>AVERAGE(H3:H11)</f>
        <v>4.6111111111111107</v>
      </c>
      <c r="I13">
        <f>AVERAGE(I3:I11)</f>
        <v>4.7</v>
      </c>
    </row>
    <row r="15" spans="1:12" x14ac:dyDescent="0.35">
      <c r="F15" s="67" t="s">
        <v>58</v>
      </c>
      <c r="G15" s="68">
        <f>(J12^2)/(J15*J16)</f>
        <v>583.3425925925925</v>
      </c>
      <c r="I15" t="s">
        <v>63</v>
      </c>
      <c r="J15">
        <v>9</v>
      </c>
      <c r="K15" s="67" t="s">
        <v>245</v>
      </c>
      <c r="L15" s="69">
        <f>(SUMSQ(J23:J25)/(J15))-G15</f>
        <v>0.17851851851867195</v>
      </c>
    </row>
    <row r="16" spans="1:12" x14ac:dyDescent="0.35">
      <c r="F16" s="67" t="s">
        <v>59</v>
      </c>
      <c r="G16" s="31">
        <f>(SUMSQ(G3:I11))-G15</f>
        <v>1.1074074074073224</v>
      </c>
      <c r="I16" t="s">
        <v>64</v>
      </c>
      <c r="J16">
        <v>3</v>
      </c>
      <c r="K16" s="67" t="s">
        <v>246</v>
      </c>
      <c r="L16" s="69">
        <f>(SUMSQ(G26:I26)/(J15))-G15</f>
        <v>0.24518518518527799</v>
      </c>
    </row>
    <row r="17" spans="6:13" x14ac:dyDescent="0.35">
      <c r="F17" s="67" t="s">
        <v>60</v>
      </c>
      <c r="G17" s="31">
        <f>(SUMSQ(G12:I12)/J15)-G15</f>
        <v>3.8518518518685596E-2</v>
      </c>
      <c r="K17" s="67" t="s">
        <v>244</v>
      </c>
      <c r="L17" s="69">
        <f>G18-L16-L15</f>
        <v>0.29703703703694373</v>
      </c>
    </row>
    <row r="18" spans="6:13" x14ac:dyDescent="0.35">
      <c r="F18" s="67" t="s">
        <v>61</v>
      </c>
      <c r="G18" s="31">
        <f>(SUMSQ(J3:J11)/J16)-G15</f>
        <v>0.72074074074089367</v>
      </c>
    </row>
    <row r="19" spans="6:13" x14ac:dyDescent="0.35">
      <c r="F19" s="67" t="s">
        <v>62</v>
      </c>
      <c r="G19" s="31">
        <f>G16-G17-G18</f>
        <v>0.34814814814774309</v>
      </c>
    </row>
    <row r="21" spans="6:13" x14ac:dyDescent="0.35">
      <c r="F21" t="s">
        <v>91</v>
      </c>
    </row>
    <row r="22" spans="6:13" x14ac:dyDescent="0.35">
      <c r="F22" t="s">
        <v>41</v>
      </c>
      <c r="G22" t="s">
        <v>69</v>
      </c>
      <c r="H22" t="s">
        <v>70</v>
      </c>
      <c r="I22" t="s">
        <v>71</v>
      </c>
      <c r="J22" t="s">
        <v>54</v>
      </c>
      <c r="K22" t="s">
        <v>93</v>
      </c>
    </row>
    <row r="23" spans="6:13" x14ac:dyDescent="0.35">
      <c r="F23" t="s">
        <v>65</v>
      </c>
      <c r="G23" s="3">
        <f>J3</f>
        <v>14.6</v>
      </c>
      <c r="H23" s="3">
        <f>J4</f>
        <v>13.6</v>
      </c>
      <c r="I23" s="3">
        <f>J5</f>
        <v>14.100000000000001</v>
      </c>
      <c r="J23" s="3">
        <f>SUM(Table195380[[#This Row],[S1]:[S3]])</f>
        <v>42.3</v>
      </c>
      <c r="K23" s="3">
        <f>Table195380[[#This Row],[Total]]/9</f>
        <v>4.6999999999999993</v>
      </c>
    </row>
    <row r="24" spans="6:13" x14ac:dyDescent="0.35">
      <c r="F24" t="s">
        <v>66</v>
      </c>
      <c r="G24" s="3">
        <f>J6</f>
        <v>14.3</v>
      </c>
      <c r="H24" s="3">
        <f>J7</f>
        <v>13.4</v>
      </c>
      <c r="I24" s="3">
        <f>J8</f>
        <v>13.1</v>
      </c>
      <c r="J24" s="3">
        <f>SUM(Table195380[[#This Row],[S1]:[S3]])</f>
        <v>40.800000000000004</v>
      </c>
      <c r="K24" s="3">
        <f>Table195380[[#This Row],[Total]]/9</f>
        <v>4.5333333333333341</v>
      </c>
    </row>
    <row r="25" spans="6:13" x14ac:dyDescent="0.35">
      <c r="F25" t="s">
        <v>67</v>
      </c>
      <c r="G25" s="3">
        <f>J9</f>
        <v>13.999999999999998</v>
      </c>
      <c r="H25" s="3">
        <f>J10</f>
        <v>13.799999999999999</v>
      </c>
      <c r="I25" s="3">
        <f>J11</f>
        <v>14.6</v>
      </c>
      <c r="J25" s="3">
        <f>SUM(Table195380[[#This Row],[S1]:[S3]])</f>
        <v>42.4</v>
      </c>
      <c r="K25" s="3">
        <f>Table195380[[#This Row],[Total]]/9</f>
        <v>4.7111111111111112</v>
      </c>
    </row>
    <row r="26" spans="6:13" x14ac:dyDescent="0.35">
      <c r="F26" t="s">
        <v>54</v>
      </c>
      <c r="G26" s="3">
        <f>SUM(G23:G25)</f>
        <v>42.9</v>
      </c>
      <c r="H26" s="3">
        <f t="shared" ref="H26:I26" si="0">SUM(H23:H25)</f>
        <v>40.799999999999997</v>
      </c>
      <c r="I26" s="3">
        <f t="shared" si="0"/>
        <v>41.800000000000004</v>
      </c>
      <c r="J26" s="3">
        <f>SUM(J23:J25)</f>
        <v>125.5</v>
      </c>
      <c r="K26" s="3"/>
    </row>
    <row r="27" spans="6:13" x14ac:dyDescent="0.35">
      <c r="F27" t="s">
        <v>93</v>
      </c>
      <c r="G27" s="3">
        <f>G26/9</f>
        <v>4.7666666666666666</v>
      </c>
      <c r="H27" s="3">
        <f t="shared" ref="H27:I27" si="1">H26/9</f>
        <v>4.5333333333333332</v>
      </c>
      <c r="I27" s="3">
        <f t="shared" si="1"/>
        <v>4.6444444444444448</v>
      </c>
      <c r="J27" s="3"/>
      <c r="K27" s="3"/>
    </row>
    <row r="28" spans="6:13" x14ac:dyDescent="0.35">
      <c r="G28" s="5"/>
      <c r="H28" s="5"/>
      <c r="I28" s="5"/>
      <c r="J28" s="5"/>
      <c r="K28" s="5"/>
    </row>
    <row r="29" spans="6:13" x14ac:dyDescent="0.35">
      <c r="F29" t="s">
        <v>73</v>
      </c>
    </row>
    <row r="30" spans="6:13" x14ac:dyDescent="0.35">
      <c r="F30" t="s">
        <v>74</v>
      </c>
      <c r="G30" t="s">
        <v>77</v>
      </c>
      <c r="H30" t="s">
        <v>78</v>
      </c>
      <c r="I30" t="s">
        <v>79</v>
      </c>
      <c r="J30" t="s">
        <v>80</v>
      </c>
      <c r="K30" t="s">
        <v>81</v>
      </c>
      <c r="L30" t="s">
        <v>82</v>
      </c>
      <c r="M30" t="s">
        <v>83</v>
      </c>
    </row>
    <row r="31" spans="6:13" x14ac:dyDescent="0.35">
      <c r="F31" s="72" t="s">
        <v>95</v>
      </c>
      <c r="G31" s="72">
        <v>2</v>
      </c>
      <c r="H31" s="73">
        <f>G17</f>
        <v>3.8518518518685596E-2</v>
      </c>
      <c r="I31" s="73">
        <f>Table442477[[#This Row],[J.K]]/Table442477[[#This Row],[d.b]]</f>
        <v>1.9259259259342798E-2</v>
      </c>
      <c r="J31" s="73">
        <f>I31/I36</f>
        <v>0.88510638298359245</v>
      </c>
      <c r="K31" s="73">
        <f t="shared" ref="K31:K32" si="2">FINV(0.05,G31,G36)</f>
        <v>3.6337234675916301</v>
      </c>
      <c r="L31" s="73">
        <f t="shared" ref="L31:L32" si="3">FINV(0.01,G31,G36)</f>
        <v>6.2262352803113821</v>
      </c>
      <c r="M31" s="72" t="str">
        <f t="shared" ref="M31:M35" si="4">IF(J31&lt;K31,"tidak berbeda nyata","berbeda nyata")</f>
        <v>tidak berbeda nyata</v>
      </c>
    </row>
    <row r="32" spans="6:13" x14ac:dyDescent="0.35">
      <c r="F32" s="72" t="s">
        <v>41</v>
      </c>
      <c r="G32" s="72">
        <v>8</v>
      </c>
      <c r="H32" s="73">
        <f>G18</f>
        <v>0.72074074074089367</v>
      </c>
      <c r="I32" s="73">
        <f>Table442477[[#This Row],[J.K]]/Table442477[[#This Row],[d.b]]</f>
        <v>9.0092592592611709E-2</v>
      </c>
      <c r="J32" s="73">
        <f>I32/I36</f>
        <v>4.1404255319205898</v>
      </c>
      <c r="K32" s="73">
        <f t="shared" si="2"/>
        <v>2.3205272350337482</v>
      </c>
      <c r="L32" s="73">
        <f t="shared" si="3"/>
        <v>3.2883985212388325</v>
      </c>
      <c r="M32" s="72" t="str">
        <f t="shared" si="4"/>
        <v>berbeda nyata</v>
      </c>
    </row>
    <row r="33" spans="4:13" x14ac:dyDescent="0.35">
      <c r="F33" s="72" t="s">
        <v>76</v>
      </c>
      <c r="G33" s="72">
        <v>2</v>
      </c>
      <c r="H33" s="73">
        <f>L15</f>
        <v>0.17851851851867195</v>
      </c>
      <c r="I33" s="73">
        <f>Table442477[[#This Row],[J.K]]/Table442477[[#This Row],[d.b]]</f>
        <v>8.9259259259335977E-2</v>
      </c>
      <c r="J33" s="73">
        <f>I33/I36</f>
        <v>4.1021276595827665</v>
      </c>
      <c r="K33" s="73">
        <f>FINV(0.05,G33,G36)</f>
        <v>3.6337234675916301</v>
      </c>
      <c r="L33" s="73">
        <f>FINV(0.01,G33,G36)</f>
        <v>6.2262352803113821</v>
      </c>
      <c r="M33" s="72" t="str">
        <f t="shared" si="4"/>
        <v>berbeda nyata</v>
      </c>
    </row>
    <row r="34" spans="4:13" x14ac:dyDescent="0.35">
      <c r="F34" s="72" t="s">
        <v>239</v>
      </c>
      <c r="G34" s="72">
        <v>2</v>
      </c>
      <c r="H34" s="73">
        <f>L16</f>
        <v>0.24518518518527799</v>
      </c>
      <c r="I34" s="73">
        <f>Table442477[[#This Row],[J.K]]/Table442477[[#This Row],[d.b]]</f>
        <v>0.12259259259263899</v>
      </c>
      <c r="J34" s="73">
        <f>I34/I36</f>
        <v>5.6340425532001772</v>
      </c>
      <c r="K34" s="73">
        <f>FINV(0.05,G34,G36)</f>
        <v>3.6337234675916301</v>
      </c>
      <c r="L34" s="73">
        <f>FINV(0.01,G34,G36)</f>
        <v>6.2262352803113821</v>
      </c>
      <c r="M34" s="72" t="str">
        <f t="shared" si="4"/>
        <v>berbeda nyata</v>
      </c>
    </row>
    <row r="35" spans="4:13" x14ac:dyDescent="0.35">
      <c r="F35" s="79" t="s">
        <v>240</v>
      </c>
      <c r="G35" s="79">
        <v>4</v>
      </c>
      <c r="H35" s="80">
        <f>L17</f>
        <v>0.29703703703694373</v>
      </c>
      <c r="I35" s="80">
        <f>Table442477[[#This Row],[J.K]]/Table442477[[#This Row],[d.b]]</f>
        <v>7.4259259259235932E-2</v>
      </c>
      <c r="J35" s="80">
        <f>I35/I36</f>
        <v>3.4127659574497073</v>
      </c>
      <c r="K35" s="80">
        <f>FINV(0.05,G35,G36)</f>
        <v>3.0069172799243447</v>
      </c>
      <c r="L35" s="80">
        <f>FINV(0.01,G35,G36)</f>
        <v>4.772577999723211</v>
      </c>
      <c r="M35" s="79" t="str">
        <f t="shared" si="4"/>
        <v>berbeda nyata</v>
      </c>
    </row>
    <row r="36" spans="4:13" x14ac:dyDescent="0.35">
      <c r="F36" t="s">
        <v>96</v>
      </c>
      <c r="G36">
        <v>16</v>
      </c>
      <c r="H36" s="3">
        <f>G19</f>
        <v>0.34814814814774309</v>
      </c>
      <c r="I36" s="3">
        <f>Table442477[[#This Row],[J.K]]/Table442477[[#This Row],[d.b]]</f>
        <v>2.1759259259233943E-2</v>
      </c>
      <c r="J36" s="3"/>
      <c r="K36" s="3"/>
      <c r="L36" s="3"/>
    </row>
    <row r="37" spans="4:13" x14ac:dyDescent="0.35">
      <c r="F37" t="s">
        <v>54</v>
      </c>
      <c r="G37">
        <v>26</v>
      </c>
      <c r="H37" s="3">
        <f>G16</f>
        <v>1.1074074074073224</v>
      </c>
      <c r="I37" s="3">
        <f>Table442477[[#This Row],[J.K]]/Table442477[[#This Row],[d.b]]</f>
        <v>4.2592592592589323E-2</v>
      </c>
      <c r="J37" s="3"/>
      <c r="K37" s="3"/>
      <c r="L37" s="3"/>
    </row>
    <row r="39" spans="4:13" x14ac:dyDescent="0.35">
      <c r="F39" t="s">
        <v>97</v>
      </c>
      <c r="G39" t="s">
        <v>255</v>
      </c>
    </row>
    <row r="40" spans="4:13" x14ac:dyDescent="0.35">
      <c r="F40" t="s">
        <v>85</v>
      </c>
      <c r="G40" s="66">
        <f>5.03*(SQRT(I36/J16))</f>
        <v>0.42838022152909599</v>
      </c>
    </row>
    <row r="42" spans="4:13" x14ac:dyDescent="0.35">
      <c r="D42" s="2"/>
      <c r="F42" t="s">
        <v>50</v>
      </c>
      <c r="G42" s="2">
        <v>4.3666666666666663</v>
      </c>
      <c r="H42" t="s">
        <v>87</v>
      </c>
      <c r="I42" s="2"/>
      <c r="J42" t="s">
        <v>45</v>
      </c>
      <c r="K42" s="2">
        <v>4.8666666666666663</v>
      </c>
      <c r="L42" t="s">
        <v>88</v>
      </c>
    </row>
    <row r="43" spans="4:13" x14ac:dyDescent="0.35">
      <c r="D43" s="2"/>
      <c r="F43" t="s">
        <v>49</v>
      </c>
      <c r="G43" s="2">
        <v>4.4666666666666668</v>
      </c>
      <c r="H43" t="s">
        <v>90</v>
      </c>
      <c r="I43" s="2"/>
      <c r="J43" t="s">
        <v>48</v>
      </c>
      <c r="K43" s="2">
        <v>4.7666666666666666</v>
      </c>
      <c r="L43" t="s">
        <v>90</v>
      </c>
    </row>
    <row r="44" spans="4:13" x14ac:dyDescent="0.35">
      <c r="D44" s="2"/>
      <c r="F44" t="s">
        <v>46</v>
      </c>
      <c r="G44" s="2">
        <v>4.5333333333333332</v>
      </c>
      <c r="H44" t="s">
        <v>90</v>
      </c>
      <c r="I44" s="2"/>
      <c r="J44" t="s">
        <v>51</v>
      </c>
      <c r="K44" s="2">
        <v>4.6666666666666661</v>
      </c>
      <c r="L44" t="s">
        <v>90</v>
      </c>
    </row>
    <row r="45" spans="4:13" x14ac:dyDescent="0.35">
      <c r="D45" s="2"/>
      <c r="F45" t="s">
        <v>52</v>
      </c>
      <c r="G45" s="2">
        <v>4.5999999999999996</v>
      </c>
      <c r="H45" t="s">
        <v>90</v>
      </c>
      <c r="I45" s="2"/>
      <c r="J45" t="s">
        <v>46</v>
      </c>
      <c r="K45" s="2">
        <v>4.5333333333333332</v>
      </c>
      <c r="L45" t="s">
        <v>90</v>
      </c>
    </row>
    <row r="46" spans="4:13" x14ac:dyDescent="0.35">
      <c r="D46" s="2"/>
      <c r="F46" t="s">
        <v>51</v>
      </c>
      <c r="G46" s="2">
        <v>4.6666666666666661</v>
      </c>
      <c r="H46" t="s">
        <v>90</v>
      </c>
      <c r="I46" s="66"/>
      <c r="J46" t="s">
        <v>49</v>
      </c>
      <c r="K46" s="2">
        <v>4.4666666666666668</v>
      </c>
      <c r="L46" t="s">
        <v>90</v>
      </c>
      <c r="M46">
        <v>4.8950468881957629</v>
      </c>
    </row>
    <row r="47" spans="4:13" x14ac:dyDescent="0.35">
      <c r="D47" s="2"/>
      <c r="F47" t="s">
        <v>47</v>
      </c>
      <c r="G47" s="2">
        <v>4.7</v>
      </c>
      <c r="H47" t="s">
        <v>90</v>
      </c>
      <c r="I47" s="66"/>
      <c r="J47" t="s">
        <v>52</v>
      </c>
      <c r="K47" s="2">
        <v>4.5999999999999996</v>
      </c>
      <c r="L47" t="s">
        <v>90</v>
      </c>
    </row>
    <row r="48" spans="4:13" x14ac:dyDescent="0.35">
      <c r="D48" s="2"/>
      <c r="F48" t="s">
        <v>48</v>
      </c>
      <c r="G48" s="2">
        <v>4.7666666666666666</v>
      </c>
      <c r="H48" t="s">
        <v>90</v>
      </c>
      <c r="I48" s="66"/>
      <c r="J48" t="s">
        <v>47</v>
      </c>
      <c r="K48" s="2">
        <v>4.7</v>
      </c>
      <c r="L48" t="s">
        <v>90</v>
      </c>
    </row>
    <row r="49" spans="4:13" x14ac:dyDescent="0.35">
      <c r="D49" s="2"/>
      <c r="F49" t="s">
        <v>45</v>
      </c>
      <c r="G49" s="2">
        <v>4.8666666666666663</v>
      </c>
      <c r="H49" t="s">
        <v>88</v>
      </c>
      <c r="I49" s="66"/>
      <c r="J49" t="s">
        <v>50</v>
      </c>
      <c r="K49" s="2">
        <v>4.3666666666666663</v>
      </c>
      <c r="L49" t="s">
        <v>87</v>
      </c>
      <c r="M49">
        <v>4.7950468881957624</v>
      </c>
    </row>
    <row r="50" spans="4:13" x14ac:dyDescent="0.35">
      <c r="D50" s="2"/>
      <c r="F50" t="s">
        <v>53</v>
      </c>
      <c r="G50" s="2">
        <v>4.8666666666666663</v>
      </c>
      <c r="H50" t="s">
        <v>88</v>
      </c>
      <c r="I50" s="66"/>
      <c r="J50" t="s">
        <v>53</v>
      </c>
      <c r="K50" s="2">
        <v>4.8666666666666663</v>
      </c>
      <c r="L50" t="s">
        <v>88</v>
      </c>
    </row>
    <row r="53" spans="4:13" x14ac:dyDescent="0.35">
      <c r="G53" s="11" t="s">
        <v>219</v>
      </c>
      <c r="H53" s="11" t="s">
        <v>220</v>
      </c>
      <c r="I53" s="11" t="s">
        <v>221</v>
      </c>
    </row>
    <row r="54" spans="4:13" x14ac:dyDescent="0.35">
      <c r="F54" t="s">
        <v>216</v>
      </c>
      <c r="G54" s="27">
        <f>K42</f>
        <v>4.8666666666666663</v>
      </c>
      <c r="H54" s="27">
        <f>K45</f>
        <v>4.5333333333333332</v>
      </c>
      <c r="I54" s="27">
        <f>K48</f>
        <v>4.7</v>
      </c>
    </row>
    <row r="55" spans="4:13" x14ac:dyDescent="0.35">
      <c r="F55" t="s">
        <v>217</v>
      </c>
      <c r="G55" s="27">
        <f>K43</f>
        <v>4.7666666666666666</v>
      </c>
      <c r="H55" s="27">
        <f>K46</f>
        <v>4.4666666666666668</v>
      </c>
      <c r="I55" s="27">
        <f>K49</f>
        <v>4.3666666666666663</v>
      </c>
    </row>
    <row r="56" spans="4:13" x14ac:dyDescent="0.35">
      <c r="F56" t="s">
        <v>218</v>
      </c>
      <c r="G56" s="27">
        <f>K44</f>
        <v>4.6666666666666661</v>
      </c>
      <c r="H56" s="27">
        <f>K47</f>
        <v>4.5999999999999996</v>
      </c>
      <c r="I56" s="27">
        <f>K50</f>
        <v>4.8666666666666663</v>
      </c>
    </row>
    <row r="57" spans="4:13" x14ac:dyDescent="0.35">
      <c r="I57" s="4"/>
    </row>
    <row r="59" spans="4:13" x14ac:dyDescent="0.35">
      <c r="I59" s="4"/>
      <c r="J59" s="4"/>
    </row>
    <row r="61" spans="4:13" x14ac:dyDescent="0.35">
      <c r="G61" s="4"/>
    </row>
    <row r="63" spans="4:13" x14ac:dyDescent="0.35">
      <c r="I63" s="4"/>
      <c r="J63" s="4"/>
    </row>
  </sheetData>
  <sortState xmlns:xlrd2="http://schemas.microsoft.com/office/spreadsheetml/2017/richdata2" ref="J42:M50">
    <sortCondition ref="J42:J50"/>
  </sortState>
  <phoneticPr fontId="2" type="noConversion"/>
  <conditionalFormatting sqref="G54:I56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49A81-CAE4-4A88-87B5-E498B58FFB85}">
  <dimension ref="A2:AF65"/>
  <sheetViews>
    <sheetView topLeftCell="A29" zoomScale="70" zoomScaleNormal="70" workbookViewId="0">
      <selection activeCell="C38" sqref="C38"/>
    </sheetView>
  </sheetViews>
  <sheetFormatPr defaultRowHeight="14.5" x14ac:dyDescent="0.35"/>
  <cols>
    <col min="1" max="1" width="10.26953125" customWidth="1"/>
    <col min="6" max="6" width="16.1796875" customWidth="1"/>
    <col min="8" max="8" width="9.26953125" bestFit="1" customWidth="1"/>
    <col min="9" max="9" width="10.26953125" customWidth="1"/>
    <col min="11" max="11" width="11.26953125" customWidth="1"/>
    <col min="12" max="12" width="10.453125" customWidth="1"/>
    <col min="15" max="30" width="0" hidden="1" customWidth="1"/>
  </cols>
  <sheetData>
    <row r="2" spans="1:32" x14ac:dyDescent="0.35">
      <c r="A2" t="s">
        <v>41</v>
      </c>
      <c r="B2" t="s">
        <v>42</v>
      </c>
      <c r="C2" t="s">
        <v>43</v>
      </c>
      <c r="D2" t="s">
        <v>44</v>
      </c>
      <c r="F2" t="s">
        <v>41</v>
      </c>
      <c r="G2" t="s">
        <v>42</v>
      </c>
      <c r="H2" t="s">
        <v>43</v>
      </c>
      <c r="I2" t="s">
        <v>44</v>
      </c>
      <c r="J2" t="s">
        <v>54</v>
      </c>
      <c r="K2" t="s">
        <v>93</v>
      </c>
      <c r="L2" t="s">
        <v>92</v>
      </c>
      <c r="N2" s="102" t="s">
        <v>254</v>
      </c>
      <c r="O2" s="102"/>
      <c r="P2" s="102"/>
      <c r="Q2" s="102"/>
      <c r="R2" s="76" t="s">
        <v>239</v>
      </c>
      <c r="S2" s="28"/>
      <c r="T2" s="28"/>
      <c r="U2" s="102" t="s">
        <v>254</v>
      </c>
      <c r="V2" s="102"/>
      <c r="W2" s="102"/>
      <c r="X2" s="102"/>
      <c r="Y2" s="76" t="s">
        <v>239</v>
      </c>
      <c r="Z2" s="29" t="s">
        <v>247</v>
      </c>
      <c r="AA2" s="29" t="s">
        <v>248</v>
      </c>
      <c r="AB2" s="29" t="s">
        <v>249</v>
      </c>
      <c r="AC2" s="29" t="s">
        <v>250</v>
      </c>
      <c r="AD2" s="29" t="s">
        <v>251</v>
      </c>
      <c r="AE2" s="65" t="s">
        <v>252</v>
      </c>
      <c r="AF2" s="77" t="s">
        <v>253</v>
      </c>
    </row>
    <row r="3" spans="1:32" x14ac:dyDescent="0.35">
      <c r="A3" t="s">
        <v>45</v>
      </c>
      <c r="B3">
        <v>30.69</v>
      </c>
      <c r="C3">
        <v>30.92</v>
      </c>
      <c r="D3">
        <v>34.47</v>
      </c>
      <c r="F3" t="s">
        <v>45</v>
      </c>
      <c r="G3">
        <f>Table28[[#This Row],[U1]]</f>
        <v>30.69</v>
      </c>
      <c r="H3">
        <f>Table28[[#This Row],[U2]]</f>
        <v>30.92</v>
      </c>
      <c r="I3">
        <f>Table28[[#This Row],[U3]]</f>
        <v>34.47</v>
      </c>
      <c r="J3">
        <f>SUM(Table29[[#This Row],[U1]:[U3]])</f>
        <v>96.08</v>
      </c>
      <c r="K3" s="2">
        <f>AVERAGE(Table29[[#This Row],[U1]:[U3]])</f>
        <v>32.026666666666664</v>
      </c>
      <c r="L3" s="2">
        <f>_xlfn.STDEV.P(Table29[[#This Row],[U1]:[Total]])</f>
        <v>27.776354152408125</v>
      </c>
      <c r="N3" s="103" t="s">
        <v>69</v>
      </c>
      <c r="O3" s="7">
        <v>30.69</v>
      </c>
      <c r="P3" s="7">
        <v>30.92</v>
      </c>
      <c r="Q3" s="46">
        <v>34.47</v>
      </c>
      <c r="R3" s="106">
        <f>SUM(O3:Q5)</f>
        <v>280.19</v>
      </c>
      <c r="S3" s="106">
        <f>AVERAGE(O3:Q5)</f>
        <v>31.132222222222222</v>
      </c>
      <c r="T3" s="62"/>
      <c r="U3" s="103" t="s">
        <v>232</v>
      </c>
      <c r="V3" s="64">
        <f>O3^2</f>
        <v>941.87610000000006</v>
      </c>
      <c r="W3" s="64">
        <f t="shared" ref="W3:X20" si="0">P3^2</f>
        <v>956.04640000000006</v>
      </c>
      <c r="X3" s="64">
        <f t="shared" si="0"/>
        <v>1188.1808999999998</v>
      </c>
      <c r="Y3" s="106">
        <f>SUM(V3:X5)</f>
        <v>8735.9010999999991</v>
      </c>
      <c r="Z3" s="106">
        <f>Y3*9</f>
        <v>78623.109899999996</v>
      </c>
      <c r="AA3" s="106">
        <f>R3^2</f>
        <v>78506.436099999992</v>
      </c>
      <c r="AB3" s="106">
        <f>Z3-AA3</f>
        <v>116.67380000000412</v>
      </c>
      <c r="AC3" s="106">
        <f>AB3/8</f>
        <v>14.584225000000515</v>
      </c>
      <c r="AD3" s="106">
        <f>SQRT(AC3)</f>
        <v>3.8189298239167102</v>
      </c>
      <c r="AE3" s="106">
        <f>(1/9)*AD3</f>
        <v>0.42432553599074557</v>
      </c>
      <c r="AF3" s="109">
        <f>AE3/S3</f>
        <v>1.362978630185485E-2</v>
      </c>
    </row>
    <row r="4" spans="1:32" x14ac:dyDescent="0.35">
      <c r="A4" t="s">
        <v>46</v>
      </c>
      <c r="B4">
        <v>26.91</v>
      </c>
      <c r="C4">
        <v>30.68</v>
      </c>
      <c r="D4">
        <v>32.450000000000003</v>
      </c>
      <c r="F4" t="s">
        <v>46</v>
      </c>
      <c r="G4">
        <f>Table28[[#This Row],[U1]]</f>
        <v>26.91</v>
      </c>
      <c r="H4">
        <f>Table28[[#This Row],[U2]]</f>
        <v>30.68</v>
      </c>
      <c r="I4">
        <f>Table28[[#This Row],[U3]]</f>
        <v>32.450000000000003</v>
      </c>
      <c r="J4">
        <f>SUM(Table29[[#This Row],[U1]:[U3]])</f>
        <v>90.04</v>
      </c>
      <c r="K4" s="2">
        <f>AVERAGE(Table29[[#This Row],[U1]:[U3]])</f>
        <v>30.013333333333335</v>
      </c>
      <c r="L4" s="2">
        <f>_xlfn.STDEV.P(Table29[[#This Row],[U1]:[Total]])</f>
        <v>26.069201176867693</v>
      </c>
      <c r="N4" s="104"/>
      <c r="O4" s="7">
        <v>30.52</v>
      </c>
      <c r="P4" s="7">
        <v>30.4</v>
      </c>
      <c r="Q4" s="46">
        <v>30.68</v>
      </c>
      <c r="R4" s="107"/>
      <c r="S4" s="107"/>
      <c r="T4" s="62"/>
      <c r="U4" s="104"/>
      <c r="V4" s="28">
        <f t="shared" ref="V4:V20" si="1">O4^2</f>
        <v>931.47039999999993</v>
      </c>
      <c r="W4" s="28">
        <f t="shared" si="0"/>
        <v>924.16</v>
      </c>
      <c r="X4" s="28">
        <f t="shared" si="0"/>
        <v>941.26239999999996</v>
      </c>
      <c r="Y4" s="107"/>
      <c r="Z4" s="107"/>
      <c r="AA4" s="107"/>
      <c r="AB4" s="107"/>
      <c r="AC4" s="107"/>
      <c r="AD4" s="107"/>
      <c r="AE4" s="107"/>
      <c r="AF4" s="110"/>
    </row>
    <row r="5" spans="1:32" x14ac:dyDescent="0.35">
      <c r="A5" t="s">
        <v>47</v>
      </c>
      <c r="B5">
        <v>35.159999999999997</v>
      </c>
      <c r="C5">
        <v>36.369999999999997</v>
      </c>
      <c r="D5">
        <v>30.25</v>
      </c>
      <c r="F5" t="s">
        <v>47</v>
      </c>
      <c r="G5">
        <f>Table28[[#This Row],[U1]]</f>
        <v>35.159999999999997</v>
      </c>
      <c r="H5">
        <f>Table28[[#This Row],[U2]]</f>
        <v>36.369999999999997</v>
      </c>
      <c r="I5">
        <f>Table28[[#This Row],[U3]]</f>
        <v>30.25</v>
      </c>
      <c r="J5">
        <f>SUM(Table29[[#This Row],[U1]:[U3]])</f>
        <v>101.78</v>
      </c>
      <c r="K5" s="2">
        <f>AVERAGE(Table29[[#This Row],[U1]:[U3]])</f>
        <v>33.926666666666669</v>
      </c>
      <c r="L5" s="2">
        <f>_xlfn.STDEV.P(Table29[[#This Row],[U1]:[Total]])</f>
        <v>29.470599756367363</v>
      </c>
      <c r="N5" s="105"/>
      <c r="O5" s="7">
        <v>30.83</v>
      </c>
      <c r="P5" s="7">
        <v>31.16</v>
      </c>
      <c r="Q5" s="46">
        <v>30.52</v>
      </c>
      <c r="R5" s="108"/>
      <c r="S5" s="108"/>
      <c r="T5" s="62"/>
      <c r="U5" s="105"/>
      <c r="V5" s="63">
        <f t="shared" si="1"/>
        <v>950.48889999999994</v>
      </c>
      <c r="W5" s="63">
        <f t="shared" si="0"/>
        <v>970.94560000000001</v>
      </c>
      <c r="X5" s="63">
        <f t="shared" si="0"/>
        <v>931.47039999999993</v>
      </c>
      <c r="Y5" s="108"/>
      <c r="Z5" s="108"/>
      <c r="AA5" s="108"/>
      <c r="AB5" s="108"/>
      <c r="AC5" s="108"/>
      <c r="AD5" s="108"/>
      <c r="AE5" s="108"/>
      <c r="AF5" s="111"/>
    </row>
    <row r="6" spans="1:32" x14ac:dyDescent="0.35">
      <c r="A6" t="s">
        <v>48</v>
      </c>
      <c r="B6">
        <v>30.52</v>
      </c>
      <c r="C6">
        <v>30.4</v>
      </c>
      <c r="D6">
        <v>30.68</v>
      </c>
      <c r="F6" t="s">
        <v>48</v>
      </c>
      <c r="G6">
        <f>Table28[[#This Row],[U1]]</f>
        <v>30.52</v>
      </c>
      <c r="H6">
        <f>Table28[[#This Row],[U2]]</f>
        <v>30.4</v>
      </c>
      <c r="I6">
        <f>Table28[[#This Row],[U3]]</f>
        <v>30.68</v>
      </c>
      <c r="J6">
        <f>SUM(Table29[[#This Row],[U1]:[U3]])</f>
        <v>91.6</v>
      </c>
      <c r="K6" s="2">
        <f>AVERAGE(Table29[[#This Row],[U1]:[U3]])</f>
        <v>30.533333333333331</v>
      </c>
      <c r="L6" s="2">
        <f>_xlfn.STDEV.P(Table29[[#This Row],[U1]:[Total]])</f>
        <v>26.442828895562592</v>
      </c>
      <c r="N6" s="104" t="s">
        <v>70</v>
      </c>
      <c r="O6" s="7">
        <v>26.91</v>
      </c>
      <c r="P6" s="7">
        <v>30.68</v>
      </c>
      <c r="Q6" s="46">
        <v>32.450000000000003</v>
      </c>
      <c r="R6" s="106">
        <f>SUM(O6:Q8)</f>
        <v>279.85000000000002</v>
      </c>
      <c r="S6" s="106">
        <f>AVERAGE(O6:Q8)</f>
        <v>31.094444444444449</v>
      </c>
      <c r="T6" s="62"/>
      <c r="U6" s="104" t="s">
        <v>233</v>
      </c>
      <c r="V6" s="64">
        <f t="shared" si="1"/>
        <v>724.1481</v>
      </c>
      <c r="W6" s="64">
        <f t="shared" si="0"/>
        <v>941.26239999999996</v>
      </c>
      <c r="X6" s="64">
        <f t="shared" si="0"/>
        <v>1053.0025000000003</v>
      </c>
      <c r="Y6" s="106">
        <f>SUM(V6:X8)</f>
        <v>8735.0361000000012</v>
      </c>
      <c r="Z6" s="106">
        <f t="shared" ref="Z6" si="2">Y6*9</f>
        <v>78615.324900000007</v>
      </c>
      <c r="AA6" s="106">
        <f>R6^2</f>
        <v>78316.022500000006</v>
      </c>
      <c r="AB6" s="106">
        <f t="shared" ref="AB6" si="3">Z6-AA6</f>
        <v>299.30240000000049</v>
      </c>
      <c r="AC6" s="106">
        <f t="shared" ref="AC6" si="4">AB6/8</f>
        <v>37.412800000000061</v>
      </c>
      <c r="AD6" s="106">
        <f t="shared" ref="AD6" si="5">SQRT(AC6)</f>
        <v>6.1166003629467296</v>
      </c>
      <c r="AE6" s="106">
        <f t="shared" ref="AE6" si="6">(1/9)*AD6</f>
        <v>0.67962226254963654</v>
      </c>
      <c r="AF6" s="109">
        <f>AE6/S6</f>
        <v>2.1856710248156969E-2</v>
      </c>
    </row>
    <row r="7" spans="1:32" x14ac:dyDescent="0.35">
      <c r="A7" t="s">
        <v>49</v>
      </c>
      <c r="B7">
        <v>32.200000000000003</v>
      </c>
      <c r="C7">
        <v>32.58</v>
      </c>
      <c r="D7">
        <v>33.869999999999997</v>
      </c>
      <c r="F7" t="s">
        <v>49</v>
      </c>
      <c r="G7">
        <f>Table28[[#This Row],[U1]]</f>
        <v>32.200000000000003</v>
      </c>
      <c r="H7">
        <f>Table28[[#This Row],[U2]]</f>
        <v>32.58</v>
      </c>
      <c r="I7">
        <f>Table28[[#This Row],[U3]]</f>
        <v>33.869999999999997</v>
      </c>
      <c r="J7">
        <f>SUM(Table29[[#This Row],[U1]:[U3]])</f>
        <v>98.65</v>
      </c>
      <c r="K7" s="2">
        <f>AVERAGE(Table29[[#This Row],[U1]:[U3]])</f>
        <v>32.883333333333333</v>
      </c>
      <c r="L7" s="2">
        <f>_xlfn.STDEV.P(Table29[[#This Row],[U1]:[Total]])</f>
        <v>28.484527817746951</v>
      </c>
      <c r="N7" s="104"/>
      <c r="O7" s="7">
        <v>32.200000000000003</v>
      </c>
      <c r="P7" s="7">
        <v>32.58</v>
      </c>
      <c r="Q7" s="46">
        <v>33.869999999999997</v>
      </c>
      <c r="R7" s="107"/>
      <c r="S7" s="107"/>
      <c r="T7" s="62"/>
      <c r="U7" s="104"/>
      <c r="V7" s="28">
        <f t="shared" si="1"/>
        <v>1036.8400000000001</v>
      </c>
      <c r="W7" s="28">
        <f t="shared" si="0"/>
        <v>1061.4563999999998</v>
      </c>
      <c r="X7" s="28">
        <f t="shared" si="0"/>
        <v>1147.1768999999999</v>
      </c>
      <c r="Y7" s="107"/>
      <c r="Z7" s="107"/>
      <c r="AA7" s="107"/>
      <c r="AB7" s="107"/>
      <c r="AC7" s="107"/>
      <c r="AD7" s="107"/>
      <c r="AE7" s="107"/>
      <c r="AF7" s="110"/>
    </row>
    <row r="8" spans="1:32" x14ac:dyDescent="0.35">
      <c r="A8" t="s">
        <v>50</v>
      </c>
      <c r="B8">
        <v>32.130000000000003</v>
      </c>
      <c r="C8">
        <v>33.81</v>
      </c>
      <c r="D8">
        <v>32.5</v>
      </c>
      <c r="F8" t="s">
        <v>50</v>
      </c>
      <c r="G8">
        <f>Table28[[#This Row],[U1]]</f>
        <v>32.130000000000003</v>
      </c>
      <c r="H8">
        <f>Table28[[#This Row],[U2]]</f>
        <v>33.81</v>
      </c>
      <c r="I8">
        <f>Table28[[#This Row],[U3]]</f>
        <v>32.5</v>
      </c>
      <c r="J8">
        <f>SUM(Table29[[#This Row],[U1]:[U3]])</f>
        <v>98.44</v>
      </c>
      <c r="K8" s="2">
        <f>AVERAGE(Table29[[#This Row],[U1]:[U3]])</f>
        <v>32.813333333333333</v>
      </c>
      <c r="L8" s="2">
        <f>_xlfn.STDEV.P(Table29[[#This Row],[U1]:[Total]])</f>
        <v>28.424034724155547</v>
      </c>
      <c r="N8" s="105"/>
      <c r="O8" s="7">
        <v>30.8</v>
      </c>
      <c r="P8" s="7">
        <v>30.83</v>
      </c>
      <c r="Q8" s="46">
        <v>29.53</v>
      </c>
      <c r="R8" s="108"/>
      <c r="S8" s="108"/>
      <c r="T8" s="62"/>
      <c r="U8" s="105"/>
      <c r="V8" s="63">
        <f t="shared" si="1"/>
        <v>948.6400000000001</v>
      </c>
      <c r="W8" s="63">
        <f t="shared" si="0"/>
        <v>950.48889999999994</v>
      </c>
      <c r="X8" s="63">
        <f t="shared" si="0"/>
        <v>872.0209000000001</v>
      </c>
      <c r="Y8" s="108"/>
      <c r="Z8" s="108"/>
      <c r="AA8" s="108"/>
      <c r="AB8" s="108"/>
      <c r="AC8" s="108"/>
      <c r="AD8" s="108"/>
      <c r="AE8" s="108"/>
      <c r="AF8" s="111"/>
    </row>
    <row r="9" spans="1:32" x14ac:dyDescent="0.35">
      <c r="A9" t="s">
        <v>51</v>
      </c>
      <c r="B9">
        <v>30.83</v>
      </c>
      <c r="C9">
        <v>31.16</v>
      </c>
      <c r="D9">
        <v>30.52</v>
      </c>
      <c r="F9" t="s">
        <v>51</v>
      </c>
      <c r="G9">
        <f>Table28[[#This Row],[U1]]</f>
        <v>30.83</v>
      </c>
      <c r="H9">
        <f>Table28[[#This Row],[U2]]</f>
        <v>31.16</v>
      </c>
      <c r="I9">
        <f>Table28[[#This Row],[U3]]</f>
        <v>30.52</v>
      </c>
      <c r="J9">
        <f>SUM(Table29[[#This Row],[U1]:[U3]])</f>
        <v>92.509999999999991</v>
      </c>
      <c r="K9" s="2">
        <f>AVERAGE(Table29[[#This Row],[U1]:[U3]])</f>
        <v>30.836666666666662</v>
      </c>
      <c r="L9" s="2">
        <f>_xlfn.STDEV.P(Table29[[#This Row],[U1]:[Total]])</f>
        <v>26.706295606092581</v>
      </c>
      <c r="N9" s="104" t="s">
        <v>71</v>
      </c>
      <c r="O9" s="7">
        <v>35.159999999999997</v>
      </c>
      <c r="P9" s="7">
        <v>36.369999999999997</v>
      </c>
      <c r="Q9" s="46">
        <v>30.25</v>
      </c>
      <c r="R9" s="106">
        <f>SUM(O9:Q11)</f>
        <v>309.89999999999998</v>
      </c>
      <c r="S9" s="106">
        <f>AVERAGE(O9:Q11)</f>
        <v>34.43333333333333</v>
      </c>
      <c r="T9" s="62"/>
      <c r="U9" s="104" t="s">
        <v>234</v>
      </c>
      <c r="V9" s="64">
        <f t="shared" si="1"/>
        <v>1236.2255999999998</v>
      </c>
      <c r="W9" s="64">
        <f t="shared" si="0"/>
        <v>1322.7768999999998</v>
      </c>
      <c r="X9" s="64">
        <f t="shared" si="0"/>
        <v>915.0625</v>
      </c>
      <c r="Y9" s="106">
        <f>SUM(V9:X11)</f>
        <v>10740.0386</v>
      </c>
      <c r="Z9" s="106">
        <f t="shared" ref="Z9" si="7">Y9*9</f>
        <v>96660.347399999999</v>
      </c>
      <c r="AA9" s="106">
        <f>R9^2</f>
        <v>96038.00999999998</v>
      </c>
      <c r="AB9" s="106">
        <f t="shared" ref="AB9" si="8">Z9-AA9</f>
        <v>622.33740000001853</v>
      </c>
      <c r="AC9" s="106">
        <f t="shared" ref="AC9" si="9">AB9/8</f>
        <v>77.792175000002317</v>
      </c>
      <c r="AD9" s="106">
        <f t="shared" ref="AD9" si="10">SQRT(AC9)</f>
        <v>8.8199872448888677</v>
      </c>
      <c r="AE9" s="106">
        <f t="shared" ref="AE9" si="11">(1/9)*AD9</f>
        <v>0.97999858276542973</v>
      </c>
      <c r="AF9" s="109">
        <f>AE9/S9</f>
        <v>2.8460752645656239E-2</v>
      </c>
    </row>
    <row r="10" spans="1:32" x14ac:dyDescent="0.35">
      <c r="A10" t="s">
        <v>52</v>
      </c>
      <c r="B10">
        <v>30.8</v>
      </c>
      <c r="C10">
        <v>30.83</v>
      </c>
      <c r="D10">
        <v>29.53</v>
      </c>
      <c r="F10" t="s">
        <v>52</v>
      </c>
      <c r="G10">
        <f>Table28[[#This Row],[U1]]</f>
        <v>30.8</v>
      </c>
      <c r="H10">
        <f>Table28[[#This Row],[U2]]</f>
        <v>30.83</v>
      </c>
      <c r="I10">
        <f>Table28[[#This Row],[U3]]</f>
        <v>29.53</v>
      </c>
      <c r="J10">
        <f>SUM(Table29[[#This Row],[U1]:[U3]])</f>
        <v>91.16</v>
      </c>
      <c r="K10" s="2">
        <f>AVERAGE(Table29[[#This Row],[U1]:[U3]])</f>
        <v>30.386666666666667</v>
      </c>
      <c r="L10" s="2">
        <f>_xlfn.STDEV.P(Table29[[#This Row],[U1]:[Total]])</f>
        <v>26.320855799156679</v>
      </c>
      <c r="N10" s="104"/>
      <c r="O10" s="7">
        <v>32.130000000000003</v>
      </c>
      <c r="P10" s="7">
        <v>33.81</v>
      </c>
      <c r="Q10" s="46">
        <v>32.5</v>
      </c>
      <c r="R10" s="107"/>
      <c r="S10" s="107"/>
      <c r="T10" s="62"/>
      <c r="U10" s="104"/>
      <c r="V10" s="28">
        <f t="shared" si="1"/>
        <v>1032.3369000000002</v>
      </c>
      <c r="W10" s="28">
        <f t="shared" si="0"/>
        <v>1143.1161000000002</v>
      </c>
      <c r="X10" s="28">
        <f t="shared" si="0"/>
        <v>1056.25</v>
      </c>
      <c r="Y10" s="107"/>
      <c r="Z10" s="107"/>
      <c r="AA10" s="107"/>
      <c r="AB10" s="107"/>
      <c r="AC10" s="107"/>
      <c r="AD10" s="107"/>
      <c r="AE10" s="107"/>
      <c r="AF10" s="110"/>
    </row>
    <row r="11" spans="1:32" x14ac:dyDescent="0.35">
      <c r="A11" t="s">
        <v>53</v>
      </c>
      <c r="B11">
        <v>39.68</v>
      </c>
      <c r="C11">
        <v>32.79</v>
      </c>
      <c r="D11">
        <v>37.21</v>
      </c>
      <c r="F11" t="s">
        <v>53</v>
      </c>
      <c r="G11">
        <f>Table28[[#This Row],[U1]]</f>
        <v>39.68</v>
      </c>
      <c r="H11">
        <f>Table28[[#This Row],[U2]]</f>
        <v>32.79</v>
      </c>
      <c r="I11">
        <f>Table28[[#This Row],[U3]]</f>
        <v>37.21</v>
      </c>
      <c r="J11">
        <f>SUM(Table29[[#This Row],[U1]:[U3]])</f>
        <v>109.68</v>
      </c>
      <c r="K11" s="2">
        <f>AVERAGE(Table29[[#This Row],[U1]:[U3]])</f>
        <v>36.56</v>
      </c>
      <c r="L11" s="2">
        <f>_xlfn.STDEV.P(Table29[[#This Row],[U1]:[Total]])</f>
        <v>31.757954121762943</v>
      </c>
      <c r="N11" s="105"/>
      <c r="O11" s="47">
        <v>39.68</v>
      </c>
      <c r="P11" s="47">
        <v>32.79</v>
      </c>
      <c r="Q11" s="48">
        <v>37.21</v>
      </c>
      <c r="R11" s="108"/>
      <c r="S11" s="108"/>
      <c r="T11" s="62"/>
      <c r="U11" s="105"/>
      <c r="V11" s="63">
        <f t="shared" si="1"/>
        <v>1574.5024000000001</v>
      </c>
      <c r="W11" s="63">
        <f t="shared" si="0"/>
        <v>1075.1840999999999</v>
      </c>
      <c r="X11" s="63">
        <f t="shared" si="0"/>
        <v>1384.5841</v>
      </c>
      <c r="Y11" s="108"/>
      <c r="Z11" s="108"/>
      <c r="AA11" s="108"/>
      <c r="AB11" s="108"/>
      <c r="AC11" s="108"/>
      <c r="AD11" s="108"/>
      <c r="AE11" s="108"/>
      <c r="AF11" s="111"/>
    </row>
    <row r="12" spans="1:32" x14ac:dyDescent="0.35">
      <c r="F12" t="s">
        <v>54</v>
      </c>
      <c r="G12" s="4">
        <f>SUM(G3:G11)</f>
        <v>288.92</v>
      </c>
      <c r="H12" s="4">
        <f>SUM(H3:H11)</f>
        <v>289.54000000000002</v>
      </c>
      <c r="I12" s="4">
        <f>SUM(I3:I11)</f>
        <v>291.48</v>
      </c>
      <c r="J12" s="4">
        <f>SUM(J3:J11)</f>
        <v>869.93999999999983</v>
      </c>
      <c r="N12" s="104" t="s">
        <v>65</v>
      </c>
      <c r="O12" s="7">
        <v>30.69</v>
      </c>
      <c r="P12" s="7">
        <v>30.92</v>
      </c>
      <c r="Q12" s="46">
        <v>34.47</v>
      </c>
      <c r="R12" s="106">
        <f>SUM(O12:Q14)</f>
        <v>287.89999999999998</v>
      </c>
      <c r="S12" s="106">
        <f>AVERAGE(O12:Q14)</f>
        <v>31.988888888888887</v>
      </c>
      <c r="T12" s="62"/>
      <c r="U12" s="104" t="s">
        <v>236</v>
      </c>
      <c r="V12" s="64">
        <f t="shared" si="1"/>
        <v>941.87610000000006</v>
      </c>
      <c r="W12" s="64">
        <f t="shared" si="0"/>
        <v>956.04640000000006</v>
      </c>
      <c r="X12" s="64">
        <f t="shared" si="0"/>
        <v>1188.1808999999998</v>
      </c>
      <c r="Y12" s="106">
        <f>SUM(V12:X14)</f>
        <v>9278.5813999999991</v>
      </c>
      <c r="Z12" s="106">
        <f t="shared" ref="Z12" si="12">Y12*9</f>
        <v>83507.232599999988</v>
      </c>
      <c r="AA12" s="106">
        <f>R12^2</f>
        <v>82886.409999999989</v>
      </c>
      <c r="AB12" s="106">
        <f t="shared" ref="AB12" si="13">Z12-AA12</f>
        <v>620.82259999999951</v>
      </c>
      <c r="AC12" s="106">
        <f t="shared" ref="AC12" si="14">AB12/8</f>
        <v>77.602824999999939</v>
      </c>
      <c r="AD12" s="106">
        <f t="shared" ref="AD12" si="15">SQRT(AC12)</f>
        <v>8.8092465625614054</v>
      </c>
      <c r="AE12" s="106">
        <f t="shared" ref="AE12" si="16">(1/9)*AD12</f>
        <v>0.97880517361793384</v>
      </c>
      <c r="AF12" s="109">
        <f>AE12/S12</f>
        <v>3.0598286080449479E-2</v>
      </c>
    </row>
    <row r="13" spans="1:32" x14ac:dyDescent="0.35">
      <c r="F13" t="s">
        <v>93</v>
      </c>
      <c r="G13" s="2">
        <f>AVERAGE(G3:G11)</f>
        <v>32.102222222222224</v>
      </c>
      <c r="H13" s="2">
        <f>AVERAGE(H3:H11)</f>
        <v>32.171111111111117</v>
      </c>
      <c r="I13" s="2">
        <f>AVERAGE(I3:I11)</f>
        <v>32.38666666666667</v>
      </c>
      <c r="N13" s="104"/>
      <c r="O13" s="7">
        <v>26.91</v>
      </c>
      <c r="P13" s="7">
        <v>30.68</v>
      </c>
      <c r="Q13" s="46">
        <v>32.450000000000003</v>
      </c>
      <c r="R13" s="107"/>
      <c r="S13" s="107"/>
      <c r="T13" s="62"/>
      <c r="U13" s="104"/>
      <c r="V13" s="28">
        <f t="shared" si="1"/>
        <v>724.1481</v>
      </c>
      <c r="W13" s="28">
        <f t="shared" si="0"/>
        <v>941.26239999999996</v>
      </c>
      <c r="X13" s="28">
        <f t="shared" si="0"/>
        <v>1053.0025000000003</v>
      </c>
      <c r="Y13" s="107"/>
      <c r="Z13" s="107"/>
      <c r="AA13" s="107"/>
      <c r="AB13" s="107"/>
      <c r="AC13" s="107"/>
      <c r="AD13" s="107"/>
      <c r="AE13" s="107"/>
      <c r="AF13" s="110"/>
    </row>
    <row r="14" spans="1:32" x14ac:dyDescent="0.35">
      <c r="N14" s="105"/>
      <c r="O14" s="7">
        <v>35.159999999999997</v>
      </c>
      <c r="P14" s="7">
        <v>36.369999999999997</v>
      </c>
      <c r="Q14" s="46">
        <v>30.25</v>
      </c>
      <c r="R14" s="108"/>
      <c r="S14" s="108"/>
      <c r="T14" s="62"/>
      <c r="U14" s="105"/>
      <c r="V14" s="63">
        <f t="shared" si="1"/>
        <v>1236.2255999999998</v>
      </c>
      <c r="W14" s="63">
        <f t="shared" si="0"/>
        <v>1322.7768999999998</v>
      </c>
      <c r="X14" s="63">
        <f t="shared" si="0"/>
        <v>915.0625</v>
      </c>
      <c r="Y14" s="108"/>
      <c r="Z14" s="108"/>
      <c r="AA14" s="108"/>
      <c r="AB14" s="108"/>
      <c r="AC14" s="108"/>
      <c r="AD14" s="108"/>
      <c r="AE14" s="108"/>
      <c r="AF14" s="111"/>
    </row>
    <row r="15" spans="1:32" x14ac:dyDescent="0.35">
      <c r="F15" s="67" t="s">
        <v>58</v>
      </c>
      <c r="G15" s="68">
        <f>(J12^2)/(J15*J16)</f>
        <v>28029.466799999987</v>
      </c>
      <c r="I15" t="s">
        <v>63</v>
      </c>
      <c r="J15">
        <v>9</v>
      </c>
      <c r="K15" s="67" t="s">
        <v>245</v>
      </c>
      <c r="L15" s="69">
        <f>(SUMSQ(J23:J25)/(J15))-G15</f>
        <v>1.927488888904918</v>
      </c>
      <c r="N15" s="104" t="s">
        <v>66</v>
      </c>
      <c r="O15" s="7">
        <v>30.52</v>
      </c>
      <c r="P15" s="7">
        <v>30.4</v>
      </c>
      <c r="Q15" s="46">
        <v>30.68</v>
      </c>
      <c r="R15" s="106">
        <f>SUM(O15:Q17)</f>
        <v>288.69</v>
      </c>
      <c r="S15" s="106">
        <f>AVERAGE(O15:Q17)</f>
        <v>32.076666666666668</v>
      </c>
      <c r="T15" s="62"/>
      <c r="U15" s="104" t="s">
        <v>237</v>
      </c>
      <c r="V15" s="64">
        <f t="shared" si="1"/>
        <v>931.47039999999993</v>
      </c>
      <c r="W15" s="64">
        <f t="shared" si="0"/>
        <v>924.16</v>
      </c>
      <c r="X15" s="64">
        <f t="shared" si="0"/>
        <v>941.26239999999996</v>
      </c>
      <c r="Y15" s="106">
        <f>SUM(V15:X17)</f>
        <v>9274.0691000000006</v>
      </c>
      <c r="Z15" s="106">
        <f t="shared" ref="Z15" si="17">Y15*9</f>
        <v>83466.621899999998</v>
      </c>
      <c r="AA15" s="106">
        <f>R15^2</f>
        <v>83341.916100000002</v>
      </c>
      <c r="AB15" s="106">
        <f t="shared" ref="AB15" si="18">Z15-AA15</f>
        <v>124.70579999999609</v>
      </c>
      <c r="AC15" s="106">
        <f t="shared" ref="AC15" si="19">AB15/8</f>
        <v>15.588224999999511</v>
      </c>
      <c r="AD15" s="106">
        <f t="shared" ref="AD15" si="20">SQRT(AC15)</f>
        <v>3.9481926244801571</v>
      </c>
      <c r="AE15" s="106">
        <f t="shared" ref="AE15" si="21">(1/9)*AD15</f>
        <v>0.43868806938668409</v>
      </c>
      <c r="AF15" s="109">
        <f>AE15/S15</f>
        <v>1.3676236185805385E-2</v>
      </c>
    </row>
    <row r="16" spans="1:32" x14ac:dyDescent="0.35">
      <c r="F16" s="67" t="s">
        <v>59</v>
      </c>
      <c r="G16" s="31">
        <f>(SUMSQ(G3:I11))-G15</f>
        <v>181.50900000000911</v>
      </c>
      <c r="I16" t="s">
        <v>64</v>
      </c>
      <c r="J16">
        <v>3</v>
      </c>
      <c r="K16" s="67" t="s">
        <v>246</v>
      </c>
      <c r="L16" s="69">
        <f>(SUMSQ(G26:I26)/(J15))-G15</f>
        <v>66.140822222234419</v>
      </c>
      <c r="N16" s="104"/>
      <c r="O16" s="7">
        <v>32.200000000000003</v>
      </c>
      <c r="P16" s="7">
        <v>32.58</v>
      </c>
      <c r="Q16" s="46">
        <v>33.869999999999997</v>
      </c>
      <c r="R16" s="107"/>
      <c r="S16" s="107"/>
      <c r="T16" s="62"/>
      <c r="U16" s="104"/>
      <c r="V16" s="28">
        <f t="shared" si="1"/>
        <v>1036.8400000000001</v>
      </c>
      <c r="W16" s="28">
        <f t="shared" si="0"/>
        <v>1061.4563999999998</v>
      </c>
      <c r="X16" s="28">
        <f t="shared" si="0"/>
        <v>1147.1768999999999</v>
      </c>
      <c r="Y16" s="107"/>
      <c r="Z16" s="107"/>
      <c r="AA16" s="107"/>
      <c r="AB16" s="107"/>
      <c r="AC16" s="107"/>
      <c r="AD16" s="107"/>
      <c r="AE16" s="107"/>
      <c r="AF16" s="110"/>
    </row>
    <row r="17" spans="6:32" x14ac:dyDescent="0.35">
      <c r="F17" s="67" t="s">
        <v>60</v>
      </c>
      <c r="G17" s="31">
        <f>(SUMSQ(G12:I12)/J15)-G15</f>
        <v>0.39635555557106272</v>
      </c>
      <c r="K17" s="67" t="s">
        <v>244</v>
      </c>
      <c r="L17" s="69">
        <f>G18-L16-L15</f>
        <v>38.631755555539712</v>
      </c>
      <c r="N17" s="105"/>
      <c r="O17" s="7">
        <v>32.130000000000003</v>
      </c>
      <c r="P17" s="7">
        <v>33.81</v>
      </c>
      <c r="Q17" s="46">
        <v>32.5</v>
      </c>
      <c r="R17" s="108"/>
      <c r="S17" s="108"/>
      <c r="T17" s="62"/>
      <c r="U17" s="105"/>
      <c r="V17" s="63">
        <f t="shared" si="1"/>
        <v>1032.3369000000002</v>
      </c>
      <c r="W17" s="63">
        <f t="shared" si="0"/>
        <v>1143.1161000000002</v>
      </c>
      <c r="X17" s="63">
        <f t="shared" si="0"/>
        <v>1056.25</v>
      </c>
      <c r="Y17" s="108"/>
      <c r="Z17" s="108"/>
      <c r="AA17" s="108"/>
      <c r="AB17" s="108"/>
      <c r="AC17" s="108"/>
      <c r="AD17" s="108"/>
      <c r="AE17" s="108"/>
      <c r="AF17" s="111"/>
    </row>
    <row r="18" spans="6:32" x14ac:dyDescent="0.35">
      <c r="F18" s="67" t="s">
        <v>61</v>
      </c>
      <c r="G18" s="31">
        <f>(SUMSQ(J3:J11)/J16)-G15</f>
        <v>106.70006666667905</v>
      </c>
      <c r="N18" s="104" t="s">
        <v>67</v>
      </c>
      <c r="O18" s="7">
        <v>30.83</v>
      </c>
      <c r="P18" s="7">
        <v>31.16</v>
      </c>
      <c r="Q18" s="46">
        <v>30.52</v>
      </c>
      <c r="R18" s="106">
        <f>SUM(O18:Q20)</f>
        <v>293.34999999999997</v>
      </c>
      <c r="S18" s="106">
        <f>AVERAGE(O18:Q20)</f>
        <v>32.594444444444441</v>
      </c>
      <c r="T18" s="62"/>
      <c r="U18" s="104" t="s">
        <v>238</v>
      </c>
      <c r="V18" s="64">
        <f t="shared" si="1"/>
        <v>950.48889999999994</v>
      </c>
      <c r="W18" s="64">
        <f t="shared" si="0"/>
        <v>970.94560000000001</v>
      </c>
      <c r="X18" s="64">
        <f t="shared" si="0"/>
        <v>931.47039999999993</v>
      </c>
      <c r="Y18" s="106">
        <f>SUM(V18:X20)</f>
        <v>9658.3253000000004</v>
      </c>
      <c r="Z18" s="106">
        <f t="shared" ref="Z18" si="22">Y18*9</f>
        <v>86924.9277</v>
      </c>
      <c r="AA18" s="106">
        <f>R18^2</f>
        <v>86054.222499999974</v>
      </c>
      <c r="AB18" s="106">
        <f t="shared" ref="AB18" si="23">Z18-AA18</f>
        <v>870.7052000000258</v>
      </c>
      <c r="AC18" s="106">
        <f t="shared" ref="AC18" si="24">AB18/8</f>
        <v>108.83815000000322</v>
      </c>
      <c r="AD18" s="106">
        <f t="shared" ref="AD18" si="25">SQRT(AC18)</f>
        <v>10.432552420189568</v>
      </c>
      <c r="AE18" s="106">
        <f t="shared" ref="AE18" si="26">(1/9)*AD18</f>
        <v>1.1591724911321741</v>
      </c>
      <c r="AF18" s="109">
        <f>AE18/S18</f>
        <v>3.5563498960932569E-2</v>
      </c>
    </row>
    <row r="19" spans="6:32" x14ac:dyDescent="0.35">
      <c r="F19" s="67" t="s">
        <v>62</v>
      </c>
      <c r="G19" s="31">
        <f>G16-G17-G18</f>
        <v>74.412577777758997</v>
      </c>
      <c r="N19" s="104"/>
      <c r="O19" s="7">
        <v>30.8</v>
      </c>
      <c r="P19" s="7">
        <v>30.83</v>
      </c>
      <c r="Q19" s="46">
        <v>29.53</v>
      </c>
      <c r="R19" s="107"/>
      <c r="S19" s="107"/>
      <c r="T19" s="62"/>
      <c r="U19" s="104"/>
      <c r="V19" s="28">
        <f t="shared" si="1"/>
        <v>948.6400000000001</v>
      </c>
      <c r="W19" s="28">
        <f t="shared" si="0"/>
        <v>950.48889999999994</v>
      </c>
      <c r="X19" s="28">
        <f t="shared" si="0"/>
        <v>872.0209000000001</v>
      </c>
      <c r="Y19" s="107"/>
      <c r="Z19" s="107"/>
      <c r="AA19" s="107"/>
      <c r="AB19" s="107"/>
      <c r="AC19" s="107"/>
      <c r="AD19" s="107"/>
      <c r="AE19" s="107"/>
      <c r="AF19" s="110"/>
    </row>
    <row r="20" spans="6:32" x14ac:dyDescent="0.35">
      <c r="N20" s="105"/>
      <c r="O20" s="47">
        <v>39.68</v>
      </c>
      <c r="P20" s="47">
        <v>32.79</v>
      </c>
      <c r="Q20" s="48">
        <v>37.21</v>
      </c>
      <c r="R20" s="108"/>
      <c r="S20" s="108"/>
      <c r="T20" s="62"/>
      <c r="U20" s="105"/>
      <c r="V20" s="63">
        <f t="shared" si="1"/>
        <v>1574.5024000000001</v>
      </c>
      <c r="W20" s="63">
        <f t="shared" si="0"/>
        <v>1075.1840999999999</v>
      </c>
      <c r="X20" s="63">
        <f t="shared" si="0"/>
        <v>1384.5841</v>
      </c>
      <c r="Y20" s="108"/>
      <c r="Z20" s="108"/>
      <c r="AA20" s="108"/>
      <c r="AB20" s="108"/>
      <c r="AC20" s="108"/>
      <c r="AD20" s="108"/>
      <c r="AE20" s="108"/>
      <c r="AF20" s="111"/>
    </row>
    <row r="21" spans="6:32" x14ac:dyDescent="0.35">
      <c r="F21" t="s">
        <v>91</v>
      </c>
    </row>
    <row r="22" spans="6:32" x14ac:dyDescent="0.35">
      <c r="F22" t="s">
        <v>41</v>
      </c>
      <c r="G22" t="s">
        <v>69</v>
      </c>
      <c r="H22" t="s">
        <v>70</v>
      </c>
      <c r="I22" t="s">
        <v>71</v>
      </c>
      <c r="J22" t="s">
        <v>54</v>
      </c>
      <c r="K22" t="s">
        <v>93</v>
      </c>
    </row>
    <row r="23" spans="6:32" x14ac:dyDescent="0.35">
      <c r="F23" t="s">
        <v>65</v>
      </c>
      <c r="G23" s="3">
        <f>J3</f>
        <v>96.08</v>
      </c>
      <c r="H23" s="3">
        <f>J4</f>
        <v>90.04</v>
      </c>
      <c r="I23" s="3">
        <f>J5</f>
        <v>101.78</v>
      </c>
      <c r="J23" s="3">
        <f>SUM(Table19538084[[#This Row],[S1]:[S3]])</f>
        <v>287.89999999999998</v>
      </c>
      <c r="K23" s="3">
        <f>Table19538084[[#This Row],[Total]]/9</f>
        <v>31.988888888888887</v>
      </c>
    </row>
    <row r="24" spans="6:32" x14ac:dyDescent="0.35">
      <c r="F24" t="s">
        <v>66</v>
      </c>
      <c r="G24" s="3">
        <f>J6</f>
        <v>91.6</v>
      </c>
      <c r="H24" s="3">
        <f>J7</f>
        <v>98.65</v>
      </c>
      <c r="I24" s="3">
        <f>J8</f>
        <v>98.44</v>
      </c>
      <c r="J24" s="3">
        <f>SUM(Table19538084[[#This Row],[S1]:[S3]])</f>
        <v>288.69</v>
      </c>
      <c r="K24" s="3">
        <f>Table19538084[[#This Row],[Total]]/9</f>
        <v>32.076666666666668</v>
      </c>
    </row>
    <row r="25" spans="6:32" x14ac:dyDescent="0.35">
      <c r="F25" t="s">
        <v>67</v>
      </c>
      <c r="G25" s="3">
        <f>J9</f>
        <v>92.509999999999991</v>
      </c>
      <c r="H25" s="3">
        <f>J10</f>
        <v>91.16</v>
      </c>
      <c r="I25" s="3">
        <f>J11</f>
        <v>109.68</v>
      </c>
      <c r="J25" s="3">
        <f>SUM(Table19538084[[#This Row],[S1]:[S3]])</f>
        <v>293.35000000000002</v>
      </c>
      <c r="K25" s="3">
        <f>Table19538084[[#This Row],[Total]]/9</f>
        <v>32.594444444444449</v>
      </c>
    </row>
    <row r="26" spans="6:32" x14ac:dyDescent="0.35">
      <c r="F26" t="s">
        <v>54</v>
      </c>
      <c r="G26" s="3">
        <f>SUM(G23:G25)</f>
        <v>280.19</v>
      </c>
      <c r="H26" s="3">
        <f t="shared" ref="H26:I26" si="27">SUM(H23:H25)</f>
        <v>279.85000000000002</v>
      </c>
      <c r="I26" s="3">
        <f t="shared" si="27"/>
        <v>309.89999999999998</v>
      </c>
      <c r="J26" s="3">
        <f>SUM(J23:J25)</f>
        <v>869.93999999999994</v>
      </c>
      <c r="K26" s="3"/>
    </row>
    <row r="27" spans="6:32" x14ac:dyDescent="0.35">
      <c r="F27" t="s">
        <v>93</v>
      </c>
      <c r="G27" s="3">
        <f>G26/9</f>
        <v>31.132222222222222</v>
      </c>
      <c r="H27" s="3">
        <f t="shared" ref="H27:I27" si="28">H26/9</f>
        <v>31.094444444444449</v>
      </c>
      <c r="I27" s="3">
        <f t="shared" si="28"/>
        <v>34.43333333333333</v>
      </c>
      <c r="J27" s="3"/>
      <c r="K27" s="3"/>
    </row>
    <row r="28" spans="6:32" x14ac:dyDescent="0.35">
      <c r="G28" s="5"/>
      <c r="H28" s="5"/>
      <c r="I28" s="5"/>
      <c r="J28" s="5"/>
      <c r="K28" s="5"/>
    </row>
    <row r="29" spans="6:32" x14ac:dyDescent="0.35">
      <c r="F29" t="s">
        <v>73</v>
      </c>
    </row>
    <row r="30" spans="6:32" x14ac:dyDescent="0.35">
      <c r="F30" t="s">
        <v>74</v>
      </c>
      <c r="G30" t="s">
        <v>77</v>
      </c>
      <c r="H30" t="s">
        <v>78</v>
      </c>
      <c r="I30" t="s">
        <v>79</v>
      </c>
      <c r="J30" t="s">
        <v>80</v>
      </c>
      <c r="K30" t="s">
        <v>81</v>
      </c>
      <c r="L30" t="s">
        <v>82</v>
      </c>
      <c r="M30" t="s">
        <v>83</v>
      </c>
    </row>
    <row r="31" spans="6:32" x14ac:dyDescent="0.35">
      <c r="F31" s="72" t="s">
        <v>95</v>
      </c>
      <c r="G31" s="72">
        <v>2</v>
      </c>
      <c r="H31" s="73">
        <f>G17</f>
        <v>0.39635555557106272</v>
      </c>
      <c r="I31" s="73">
        <f>Table44247783[[#This Row],[J.K]]/Table44247783[[#This Row],[d.b]]</f>
        <v>0.19817777778553136</v>
      </c>
      <c r="J31" s="73">
        <f>I31/I36</f>
        <v>4.2611673177598584E-2</v>
      </c>
      <c r="K31" s="73">
        <f t="shared" ref="K31:K32" si="29">FINV(0.05,G31,G36)</f>
        <v>3.6337234675916301</v>
      </c>
      <c r="L31" s="73">
        <f t="shared" ref="L31:L32" si="30">FINV(0.01,G31,G36)</f>
        <v>6.2262352803113821</v>
      </c>
      <c r="M31" s="72" t="str">
        <f t="shared" ref="M31:M35" si="31">IF(J31&lt;K31,"tidak berbeda nyata","berbeda nyata")</f>
        <v>tidak berbeda nyata</v>
      </c>
    </row>
    <row r="32" spans="6:32" x14ac:dyDescent="0.35">
      <c r="F32" s="72" t="s">
        <v>41</v>
      </c>
      <c r="G32" s="72">
        <v>8</v>
      </c>
      <c r="H32" s="73">
        <f>G18</f>
        <v>106.70006666667905</v>
      </c>
      <c r="I32" s="73">
        <f>Table44247783[[#This Row],[J.K]]/Table44247783[[#This Row],[d.b]]</f>
        <v>13.337508333334881</v>
      </c>
      <c r="J32" s="73">
        <f>I32/I36</f>
        <v>2.8677965433572274</v>
      </c>
      <c r="K32" s="73">
        <f t="shared" si="29"/>
        <v>2.3205272350337482</v>
      </c>
      <c r="L32" s="73">
        <f t="shared" si="30"/>
        <v>3.2883985212388325</v>
      </c>
      <c r="M32" s="72" t="str">
        <f t="shared" si="31"/>
        <v>berbeda nyata</v>
      </c>
    </row>
    <row r="33" spans="6:13" x14ac:dyDescent="0.35">
      <c r="F33" s="72" t="s">
        <v>76</v>
      </c>
      <c r="G33" s="72">
        <v>2</v>
      </c>
      <c r="H33" s="73">
        <f>L15</f>
        <v>1.927488888904918</v>
      </c>
      <c r="I33" s="73">
        <f>Table44247783[[#This Row],[J.K]]/Table44247783[[#This Row],[d.b]]</f>
        <v>0.96374444445245899</v>
      </c>
      <c r="J33" s="73">
        <f>I33/I36</f>
        <v>0.2072218376480994</v>
      </c>
      <c r="K33" s="73">
        <f>FINV(0.05,G33,G36)</f>
        <v>3.6337234675916301</v>
      </c>
      <c r="L33" s="73">
        <f>FINV(0.01,G33,G36)</f>
        <v>6.2262352803113821</v>
      </c>
      <c r="M33" s="72" t="str">
        <f t="shared" si="31"/>
        <v>tidak berbeda nyata</v>
      </c>
    </row>
    <row r="34" spans="6:13" x14ac:dyDescent="0.35">
      <c r="F34" s="82" t="s">
        <v>239</v>
      </c>
      <c r="G34" s="82">
        <v>2</v>
      </c>
      <c r="H34" s="83">
        <f>L16</f>
        <v>66.140822222234419</v>
      </c>
      <c r="I34" s="83">
        <f>Table44247783[[#This Row],[J.K]]/Table44247783[[#This Row],[d.b]]</f>
        <v>33.07041111111721</v>
      </c>
      <c r="J34" s="83">
        <f>I34/I36</f>
        <v>7.1107142579869711</v>
      </c>
      <c r="K34" s="83">
        <f>FINV(0.05,G34,G36)</f>
        <v>3.6337234675916301</v>
      </c>
      <c r="L34" s="83">
        <f>FINV(0.01,G34,G36)</f>
        <v>6.2262352803113821</v>
      </c>
      <c r="M34" s="82" t="str">
        <f t="shared" si="31"/>
        <v>berbeda nyata</v>
      </c>
    </row>
    <row r="35" spans="6:13" x14ac:dyDescent="0.35">
      <c r="F35" s="70" t="s">
        <v>240</v>
      </c>
      <c r="G35" s="70">
        <v>4</v>
      </c>
      <c r="H35" s="71">
        <f>L17</f>
        <v>38.631755555539712</v>
      </c>
      <c r="I35" s="71">
        <f>Table44247783[[#This Row],[J.K]]/Table44247783[[#This Row],[d.b]]</f>
        <v>9.657938888884928</v>
      </c>
      <c r="J35" s="71">
        <f>I35/I36</f>
        <v>2.0766250388969199</v>
      </c>
      <c r="K35" s="71">
        <f>FINV(0.05,G35,G36)</f>
        <v>3.0069172799243447</v>
      </c>
      <c r="L35" s="71">
        <f>FINV(0.01,G35,G36)</f>
        <v>4.772577999723211</v>
      </c>
      <c r="M35" s="70" t="str">
        <f t="shared" si="31"/>
        <v>tidak berbeda nyata</v>
      </c>
    </row>
    <row r="36" spans="6:13" x14ac:dyDescent="0.35">
      <c r="F36" t="s">
        <v>96</v>
      </c>
      <c r="G36">
        <v>16</v>
      </c>
      <c r="H36" s="3">
        <f>G19</f>
        <v>74.412577777758997</v>
      </c>
      <c r="I36" s="3">
        <f>Table44247783[[#This Row],[J.K]]/Table44247783[[#This Row],[d.b]]</f>
        <v>4.6507861111099373</v>
      </c>
      <c r="J36" s="3"/>
      <c r="K36" s="3"/>
      <c r="L36" s="3"/>
    </row>
    <row r="37" spans="6:13" x14ac:dyDescent="0.35">
      <c r="F37" t="s">
        <v>54</v>
      </c>
      <c r="G37">
        <v>26</v>
      </c>
      <c r="H37" s="3">
        <f>G16</f>
        <v>181.50900000000911</v>
      </c>
      <c r="I37" s="3">
        <f>Table44247783[[#This Row],[J.K]]/Table44247783[[#This Row],[d.b]]</f>
        <v>6.9811153846157348</v>
      </c>
      <c r="J37" s="3"/>
      <c r="K37" s="3"/>
      <c r="L37" s="3"/>
    </row>
    <row r="39" spans="6:13" x14ac:dyDescent="0.35">
      <c r="F39" s="101" t="s">
        <v>242</v>
      </c>
      <c r="G39" s="101"/>
      <c r="H39" s="33"/>
      <c r="I39" s="38" t="s">
        <v>41</v>
      </c>
      <c r="J39" s="38" t="s">
        <v>68</v>
      </c>
      <c r="K39" s="38" t="s">
        <v>86</v>
      </c>
      <c r="L39" s="38"/>
    </row>
    <row r="40" spans="6:13" x14ac:dyDescent="0.35">
      <c r="F40" s="34" t="s">
        <v>229</v>
      </c>
      <c r="G40" s="35">
        <f>SQRT(I36/J15)</f>
        <v>0.71885604424359451</v>
      </c>
      <c r="H40" s="33"/>
      <c r="I40" s="39" t="s">
        <v>69</v>
      </c>
      <c r="J40" s="49">
        <f>G27</f>
        <v>31.132222222222222</v>
      </c>
      <c r="K40" s="40" t="s">
        <v>87</v>
      </c>
      <c r="L40" s="49"/>
    </row>
    <row r="41" spans="6:13" x14ac:dyDescent="0.35">
      <c r="F41" s="34" t="s">
        <v>230</v>
      </c>
      <c r="G41" s="36">
        <v>3.65</v>
      </c>
      <c r="H41" s="33"/>
      <c r="I41" s="39" t="s">
        <v>70</v>
      </c>
      <c r="J41" s="49">
        <f>H27</f>
        <v>31.094444444444449</v>
      </c>
      <c r="K41" s="40" t="s">
        <v>87</v>
      </c>
      <c r="L41" s="49">
        <f>J41+$G$42</f>
        <v>33.718269005933571</v>
      </c>
    </row>
    <row r="42" spans="6:13" x14ac:dyDescent="0.35">
      <c r="F42" s="34" t="s">
        <v>231</v>
      </c>
      <c r="G42" s="35">
        <f>G40*G41</f>
        <v>2.62382456148912</v>
      </c>
      <c r="H42" s="33"/>
      <c r="I42" s="39" t="s">
        <v>71</v>
      </c>
      <c r="J42" s="49">
        <f>I27</f>
        <v>34.43333333333333</v>
      </c>
      <c r="K42" s="40" t="s">
        <v>88</v>
      </c>
      <c r="L42" s="49">
        <f>J42+$G$42</f>
        <v>37.057157894822453</v>
      </c>
    </row>
    <row r="43" spans="6:13" x14ac:dyDescent="0.35">
      <c r="F43" s="37"/>
      <c r="G43" s="37"/>
      <c r="H43" s="37"/>
      <c r="I43" s="41" t="s">
        <v>235</v>
      </c>
      <c r="J43" s="55">
        <f>G42</f>
        <v>2.62382456148912</v>
      </c>
      <c r="K43" s="42"/>
      <c r="L43" s="50"/>
    </row>
    <row r="44" spans="6:13" x14ac:dyDescent="0.35">
      <c r="I44" s="43" t="s">
        <v>65</v>
      </c>
      <c r="J44" s="49">
        <f>K23</f>
        <v>31.988888888888887</v>
      </c>
      <c r="K44" s="40" t="s">
        <v>87</v>
      </c>
      <c r="L44" s="49">
        <f>J44+$G$42</f>
        <v>34.61271345037801</v>
      </c>
      <c r="M44" s="66"/>
    </row>
    <row r="45" spans="6:13" x14ac:dyDescent="0.35">
      <c r="I45" s="43" t="s">
        <v>66</v>
      </c>
      <c r="J45" s="49">
        <f>K24</f>
        <v>32.076666666666668</v>
      </c>
      <c r="K45" s="40" t="s">
        <v>87</v>
      </c>
      <c r="L45" s="49"/>
      <c r="M45" s="66"/>
    </row>
    <row r="46" spans="6:13" x14ac:dyDescent="0.35">
      <c r="I46" s="43" t="s">
        <v>67</v>
      </c>
      <c r="J46" s="49">
        <f>K25</f>
        <v>32.594444444444449</v>
      </c>
      <c r="K46" s="40" t="s">
        <v>87</v>
      </c>
      <c r="L46" s="49"/>
      <c r="M46" s="66"/>
    </row>
    <row r="47" spans="6:13" x14ac:dyDescent="0.35">
      <c r="I47" s="41" t="s">
        <v>235</v>
      </c>
      <c r="J47" s="50" t="s">
        <v>84</v>
      </c>
      <c r="K47" s="42"/>
      <c r="L47" s="42"/>
    </row>
    <row r="50" spans="6:18" x14ac:dyDescent="0.35">
      <c r="J50" s="2"/>
      <c r="L50" s="66"/>
      <c r="M50" s="66"/>
    </row>
    <row r="51" spans="6:18" x14ac:dyDescent="0.35">
      <c r="J51" s="2"/>
      <c r="L51" s="66"/>
      <c r="M51" s="66"/>
    </row>
    <row r="52" spans="6:18" x14ac:dyDescent="0.35">
      <c r="J52" s="2"/>
      <c r="L52" s="66"/>
      <c r="M52" s="66"/>
    </row>
    <row r="53" spans="6:18" x14ac:dyDescent="0.35">
      <c r="F53" s="67"/>
      <c r="G53" s="69"/>
      <c r="H53" s="4"/>
    </row>
    <row r="54" spans="6:18" x14ac:dyDescent="0.35">
      <c r="F54" s="67"/>
      <c r="G54" s="69"/>
      <c r="H54" s="4"/>
    </row>
    <row r="55" spans="6:18" x14ac:dyDescent="0.35">
      <c r="F55" s="67"/>
      <c r="G55" s="69"/>
      <c r="H55" s="5"/>
    </row>
    <row r="57" spans="6:18" x14ac:dyDescent="0.35">
      <c r="P57" s="11"/>
      <c r="Q57" s="11"/>
      <c r="R57" s="11"/>
    </row>
    <row r="58" spans="6:18" x14ac:dyDescent="0.35">
      <c r="P58" s="26"/>
      <c r="Q58" s="26"/>
      <c r="R58" s="26"/>
    </row>
    <row r="59" spans="6:18" x14ac:dyDescent="0.35">
      <c r="F59" s="72"/>
      <c r="G59" s="72"/>
      <c r="H59" s="73"/>
      <c r="I59" s="73"/>
      <c r="J59" s="73"/>
      <c r="K59" s="73"/>
      <c r="L59" s="73"/>
      <c r="M59" s="72"/>
      <c r="P59" s="26"/>
      <c r="Q59" s="26"/>
      <c r="R59" s="26"/>
    </row>
    <row r="60" spans="6:18" x14ac:dyDescent="0.35">
      <c r="F60" s="72"/>
      <c r="G60" s="72"/>
      <c r="H60" s="73"/>
      <c r="I60" s="73"/>
      <c r="J60" s="73"/>
      <c r="K60" s="73"/>
      <c r="L60" s="73"/>
      <c r="M60" s="72"/>
      <c r="P60" s="26"/>
      <c r="Q60" s="26"/>
      <c r="R60" s="26"/>
    </row>
    <row r="61" spans="6:18" x14ac:dyDescent="0.35">
      <c r="F61" s="72"/>
      <c r="G61" s="72"/>
      <c r="H61" s="73"/>
      <c r="I61" s="73"/>
      <c r="J61" s="73"/>
      <c r="K61" s="73"/>
      <c r="L61" s="73"/>
      <c r="M61" s="72"/>
      <c r="P61" s="11"/>
      <c r="Q61" s="11"/>
      <c r="R61" s="11"/>
    </row>
    <row r="62" spans="6:18" x14ac:dyDescent="0.35">
      <c r="F62" s="72"/>
      <c r="G62" s="72"/>
      <c r="H62" s="73"/>
      <c r="I62" s="73"/>
      <c r="J62" s="73"/>
      <c r="K62" s="73"/>
      <c r="L62" s="73"/>
      <c r="M62" s="72"/>
    </row>
    <row r="63" spans="6:18" x14ac:dyDescent="0.35">
      <c r="F63" s="70"/>
      <c r="G63" s="70"/>
      <c r="H63" s="71"/>
      <c r="I63" s="71"/>
      <c r="J63" s="71"/>
      <c r="K63" s="71"/>
      <c r="L63" s="71"/>
      <c r="M63" s="70"/>
    </row>
    <row r="64" spans="6:18" x14ac:dyDescent="0.35">
      <c r="H64" s="3"/>
      <c r="I64" s="3"/>
      <c r="J64" s="3"/>
      <c r="K64" s="3"/>
      <c r="L64" s="3"/>
    </row>
    <row r="65" spans="8:12" x14ac:dyDescent="0.35">
      <c r="H65" s="3"/>
      <c r="I65" s="3"/>
      <c r="J65" s="3"/>
      <c r="K65" s="3"/>
      <c r="L65" s="3"/>
    </row>
  </sheetData>
  <sortState xmlns:xlrd2="http://schemas.microsoft.com/office/spreadsheetml/2017/richdata2" ref="L67:M75">
    <sortCondition descending="1" ref="M67:M75"/>
  </sortState>
  <mergeCells count="75">
    <mergeCell ref="AD15:AD17"/>
    <mergeCell ref="AE15:AE17"/>
    <mergeCell ref="AF15:AF17"/>
    <mergeCell ref="AF18:AF20"/>
    <mergeCell ref="Z18:Z20"/>
    <mergeCell ref="AA18:AA20"/>
    <mergeCell ref="AB18:AB20"/>
    <mergeCell ref="AC18:AC20"/>
    <mergeCell ref="AD18:AD20"/>
    <mergeCell ref="AE18:AE20"/>
    <mergeCell ref="S18:S20"/>
    <mergeCell ref="U18:U20"/>
    <mergeCell ref="Y18:Y20"/>
    <mergeCell ref="AB15:AB17"/>
    <mergeCell ref="AC15:AC17"/>
    <mergeCell ref="AD12:AD14"/>
    <mergeCell ref="AE12:AE14"/>
    <mergeCell ref="AF12:AF14"/>
    <mergeCell ref="N15:N17"/>
    <mergeCell ref="R15:R17"/>
    <mergeCell ref="S15:S17"/>
    <mergeCell ref="U15:U17"/>
    <mergeCell ref="Y15:Y17"/>
    <mergeCell ref="Z15:Z17"/>
    <mergeCell ref="AA15:AA17"/>
    <mergeCell ref="U12:U14"/>
    <mergeCell ref="Y12:Y14"/>
    <mergeCell ref="Z12:Z14"/>
    <mergeCell ref="AA12:AA14"/>
    <mergeCell ref="AB12:AB14"/>
    <mergeCell ref="AC12:AC14"/>
    <mergeCell ref="Y9:Y11"/>
    <mergeCell ref="AF9:AF11"/>
    <mergeCell ref="AC6:AC8"/>
    <mergeCell ref="AD6:AD8"/>
    <mergeCell ref="AE6:AE8"/>
    <mergeCell ref="AF6:AF8"/>
    <mergeCell ref="AA9:AA11"/>
    <mergeCell ref="AB9:AB11"/>
    <mergeCell ref="AC9:AC11"/>
    <mergeCell ref="AD9:AD11"/>
    <mergeCell ref="AE9:AE11"/>
    <mergeCell ref="Z9:Z11"/>
    <mergeCell ref="AE3:AE5"/>
    <mergeCell ref="AF3:AF5"/>
    <mergeCell ref="N6:N8"/>
    <mergeCell ref="R6:R8"/>
    <mergeCell ref="S6:S8"/>
    <mergeCell ref="U6:U8"/>
    <mergeCell ref="Y6:Y8"/>
    <mergeCell ref="Z6:Z8"/>
    <mergeCell ref="AA6:AA8"/>
    <mergeCell ref="AB6:AB8"/>
    <mergeCell ref="Y3:Y5"/>
    <mergeCell ref="Z3:Z5"/>
    <mergeCell ref="AA3:AA5"/>
    <mergeCell ref="AB3:AB5"/>
    <mergeCell ref="AC3:AC5"/>
    <mergeCell ref="AD3:AD5"/>
    <mergeCell ref="F39:G39"/>
    <mergeCell ref="N2:Q2"/>
    <mergeCell ref="U2:X2"/>
    <mergeCell ref="N3:N5"/>
    <mergeCell ref="R3:R5"/>
    <mergeCell ref="S3:S5"/>
    <mergeCell ref="U3:U5"/>
    <mergeCell ref="N12:N14"/>
    <mergeCell ref="R12:R14"/>
    <mergeCell ref="S12:S14"/>
    <mergeCell ref="N9:N11"/>
    <mergeCell ref="R9:R11"/>
    <mergeCell ref="S9:S11"/>
    <mergeCell ref="U9:U11"/>
    <mergeCell ref="N18:N20"/>
    <mergeCell ref="R18:R20"/>
  </mergeCells>
  <phoneticPr fontId="2" type="noConversion"/>
  <conditionalFormatting sqref="P58:R60">
    <cfRule type="colorScale" priority="4">
      <colorScale>
        <cfvo type="min"/>
        <cfvo type="max"/>
        <color theme="1" tint="0.499984740745262"/>
        <color theme="0" tint="-4.9989318521683403E-2"/>
      </colorScale>
    </cfRule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S3:S5">
    <cfRule type="cellIs" priority="1" operator="equal">
      <formula>#REF!</formula>
    </cfRule>
  </conditionalFormatting>
  <conditionalFormatting sqref="S3:T11">
    <cfRule type="colorScale" priority="3">
      <colorScale>
        <cfvo type="min"/>
        <cfvo type="max"/>
        <color rgb="FF63BE7B"/>
        <color rgb="FFFFEF9C"/>
      </colorScale>
    </cfRule>
  </conditionalFormatting>
  <conditionalFormatting sqref="S12:T20">
    <cfRule type="colorScale" priority="2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CE5BD-0194-462E-A5FE-10EA6E889A71}">
  <dimension ref="A2:AF52"/>
  <sheetViews>
    <sheetView topLeftCell="A24" workbookViewId="0">
      <selection activeCell="H43" sqref="H43"/>
    </sheetView>
  </sheetViews>
  <sheetFormatPr defaultRowHeight="14.5" x14ac:dyDescent="0.35"/>
  <cols>
    <col min="1" max="1" width="10.26953125" customWidth="1"/>
    <col min="6" max="6" width="17" customWidth="1"/>
    <col min="9" max="9" width="10.26953125" customWidth="1"/>
    <col min="11" max="11" width="11.54296875" customWidth="1"/>
    <col min="12" max="12" width="12.453125" customWidth="1"/>
    <col min="15" max="30" width="0" hidden="1" customWidth="1"/>
  </cols>
  <sheetData>
    <row r="2" spans="1:32" x14ac:dyDescent="0.35">
      <c r="A2" t="s">
        <v>41</v>
      </c>
      <c r="B2" t="s">
        <v>42</v>
      </c>
      <c r="C2" t="s">
        <v>43</v>
      </c>
      <c r="D2" t="s">
        <v>44</v>
      </c>
      <c r="F2" t="s">
        <v>41</v>
      </c>
      <c r="G2" t="s">
        <v>42</v>
      </c>
      <c r="H2" t="s">
        <v>43</v>
      </c>
      <c r="I2" t="s">
        <v>44</v>
      </c>
      <c r="J2" t="s">
        <v>54</v>
      </c>
      <c r="K2" t="s">
        <v>93</v>
      </c>
      <c r="L2" t="s">
        <v>92</v>
      </c>
      <c r="N2" s="102" t="s">
        <v>254</v>
      </c>
      <c r="O2" s="102"/>
      <c r="P2" s="102"/>
      <c r="Q2" s="102"/>
      <c r="R2" s="76" t="s">
        <v>239</v>
      </c>
      <c r="S2" s="28"/>
      <c r="T2" s="28"/>
      <c r="U2" s="102" t="s">
        <v>254</v>
      </c>
      <c r="V2" s="102"/>
      <c r="W2" s="102"/>
      <c r="X2" s="102"/>
      <c r="Y2" s="76" t="s">
        <v>239</v>
      </c>
      <c r="Z2" s="29" t="s">
        <v>247</v>
      </c>
      <c r="AA2" s="29" t="s">
        <v>248</v>
      </c>
      <c r="AB2" s="29" t="s">
        <v>249</v>
      </c>
      <c r="AC2" s="29" t="s">
        <v>250</v>
      </c>
      <c r="AD2" s="29" t="s">
        <v>251</v>
      </c>
      <c r="AE2" s="65" t="s">
        <v>252</v>
      </c>
      <c r="AF2" s="77" t="s">
        <v>253</v>
      </c>
    </row>
    <row r="3" spans="1:32" x14ac:dyDescent="0.35">
      <c r="A3" t="s">
        <v>45</v>
      </c>
      <c r="B3">
        <v>2.96</v>
      </c>
      <c r="C3">
        <v>4.28</v>
      </c>
      <c r="D3">
        <v>17.62</v>
      </c>
      <c r="F3" t="s">
        <v>45</v>
      </c>
      <c r="G3">
        <f>Table36[[#This Row],[U1]]</f>
        <v>2.96</v>
      </c>
      <c r="H3">
        <f>Table36[[#This Row],[U2]]</f>
        <v>4.28</v>
      </c>
      <c r="I3">
        <f>Table36[[#This Row],[U3]]</f>
        <v>17.62</v>
      </c>
      <c r="J3">
        <f>SUM(Table37[[#This Row],[U1]:[U3]])</f>
        <v>24.86</v>
      </c>
      <c r="K3" s="3">
        <f>AVERAGE(Table37[[#This Row],[U1]:[U3]])</f>
        <v>8.2866666666666671</v>
      </c>
      <c r="L3" s="3">
        <f>_xlfn.STDEV.P(Table37[[#This Row],[U1]:[Total]])</f>
        <v>9.1861907230363986</v>
      </c>
      <c r="N3" s="103" t="s">
        <v>69</v>
      </c>
      <c r="O3" s="53">
        <v>2.96</v>
      </c>
      <c r="P3" s="53">
        <v>4.28</v>
      </c>
      <c r="Q3" s="54">
        <v>17.62</v>
      </c>
      <c r="R3" s="106">
        <f>SUM(O3:Q5)</f>
        <v>50.13</v>
      </c>
      <c r="S3" s="106">
        <f>AVERAGE(O3:Q5)</f>
        <v>5.57</v>
      </c>
      <c r="T3" s="62"/>
      <c r="U3" s="103" t="s">
        <v>232</v>
      </c>
      <c r="V3" s="64">
        <f>O3^2</f>
        <v>8.7615999999999996</v>
      </c>
      <c r="W3" s="64">
        <f t="shared" ref="W3:X20" si="0">P3^2</f>
        <v>18.3184</v>
      </c>
      <c r="X3" s="64">
        <f t="shared" si="0"/>
        <v>310.46440000000001</v>
      </c>
      <c r="Y3" s="106">
        <f>SUM(V3:X5)</f>
        <v>457.78829999999994</v>
      </c>
      <c r="Z3" s="106">
        <f>Y3*9</f>
        <v>4120.0946999999996</v>
      </c>
      <c r="AA3" s="106">
        <f>R3^2</f>
        <v>2513.0169000000001</v>
      </c>
      <c r="AB3" s="106">
        <f>Z3-AA3</f>
        <v>1607.0777999999996</v>
      </c>
      <c r="AC3" s="106">
        <f>AB3/8</f>
        <v>200.88472499999995</v>
      </c>
      <c r="AD3" s="106">
        <f>SQRT(AC3)</f>
        <v>14.173380859907772</v>
      </c>
      <c r="AE3" s="106">
        <f>(1/9)*AD3</f>
        <v>1.5748200955453078</v>
      </c>
      <c r="AF3" s="109">
        <f>AE3/S3</f>
        <v>0.28273251266522581</v>
      </c>
    </row>
    <row r="4" spans="1:32" x14ac:dyDescent="0.35">
      <c r="A4" t="s">
        <v>46</v>
      </c>
      <c r="B4">
        <v>2.67</v>
      </c>
      <c r="C4">
        <v>3.2</v>
      </c>
      <c r="D4">
        <v>13.56</v>
      </c>
      <c r="F4" t="s">
        <v>46</v>
      </c>
      <c r="G4">
        <f>Table36[[#This Row],[U1]]</f>
        <v>2.67</v>
      </c>
      <c r="H4">
        <f>Table36[[#This Row],[U2]]</f>
        <v>3.2</v>
      </c>
      <c r="I4">
        <f>Table36[[#This Row],[U3]]</f>
        <v>13.56</v>
      </c>
      <c r="J4">
        <f>SUM(Table37[[#This Row],[U1]:[U3]])</f>
        <v>19.43</v>
      </c>
      <c r="K4" s="3">
        <f>AVERAGE(Table37[[#This Row],[U1]:[U3]])</f>
        <v>6.4766666666666666</v>
      </c>
      <c r="L4" s="3">
        <f>_xlfn.STDEV.P(Table37[[#This Row],[U1]:[Total]])</f>
        <v>7.092998308190972</v>
      </c>
      <c r="N4" s="104"/>
      <c r="O4" s="53">
        <v>2.62</v>
      </c>
      <c r="P4" s="53">
        <v>2.59</v>
      </c>
      <c r="Q4" s="54">
        <v>3.78</v>
      </c>
      <c r="R4" s="107"/>
      <c r="S4" s="107"/>
      <c r="T4" s="62"/>
      <c r="U4" s="104"/>
      <c r="V4" s="28">
        <f t="shared" ref="V4:V20" si="1">O4^2</f>
        <v>6.8644000000000007</v>
      </c>
      <c r="W4" s="28">
        <f t="shared" si="0"/>
        <v>6.7080999999999991</v>
      </c>
      <c r="X4" s="28">
        <f t="shared" si="0"/>
        <v>14.288399999999999</v>
      </c>
      <c r="Y4" s="107"/>
      <c r="Z4" s="107"/>
      <c r="AA4" s="107"/>
      <c r="AB4" s="107"/>
      <c r="AC4" s="107"/>
      <c r="AD4" s="107"/>
      <c r="AE4" s="107"/>
      <c r="AF4" s="110"/>
    </row>
    <row r="5" spans="1:32" x14ac:dyDescent="0.35">
      <c r="A5" t="s">
        <v>47</v>
      </c>
      <c r="B5">
        <v>13.61</v>
      </c>
      <c r="C5">
        <v>16.18</v>
      </c>
      <c r="D5">
        <v>2.59</v>
      </c>
      <c r="F5" t="s">
        <v>47</v>
      </c>
      <c r="G5">
        <f>Table36[[#This Row],[U1]]</f>
        <v>13.61</v>
      </c>
      <c r="H5">
        <f>Table36[[#This Row],[U2]]</f>
        <v>16.18</v>
      </c>
      <c r="I5">
        <f>Table36[[#This Row],[U3]]</f>
        <v>2.59</v>
      </c>
      <c r="J5">
        <f>SUM(Table37[[#This Row],[U1]:[U3]])</f>
        <v>32.379999999999995</v>
      </c>
      <c r="K5" s="3">
        <f>AVERAGE(Table37[[#This Row],[U1]:[U3]])</f>
        <v>10.793333333333331</v>
      </c>
      <c r="L5" s="3">
        <f>_xlfn.STDEV.P(Table37[[#This Row],[U1]:[Total]])</f>
        <v>10.650499988263462</v>
      </c>
      <c r="N5" s="105"/>
      <c r="O5" s="53">
        <v>3.9</v>
      </c>
      <c r="P5" s="53">
        <v>6.71</v>
      </c>
      <c r="Q5" s="54">
        <v>5.67</v>
      </c>
      <c r="R5" s="108"/>
      <c r="S5" s="108"/>
      <c r="T5" s="62"/>
      <c r="U5" s="105"/>
      <c r="V5" s="63">
        <f t="shared" si="1"/>
        <v>15.209999999999999</v>
      </c>
      <c r="W5" s="63">
        <f t="shared" si="0"/>
        <v>45.024099999999997</v>
      </c>
      <c r="X5" s="63">
        <f t="shared" si="0"/>
        <v>32.148899999999998</v>
      </c>
      <c r="Y5" s="108"/>
      <c r="Z5" s="108"/>
      <c r="AA5" s="108"/>
      <c r="AB5" s="108"/>
      <c r="AC5" s="108"/>
      <c r="AD5" s="108"/>
      <c r="AE5" s="108"/>
      <c r="AF5" s="111"/>
    </row>
    <row r="6" spans="1:32" x14ac:dyDescent="0.35">
      <c r="A6" t="s">
        <v>48</v>
      </c>
      <c r="B6">
        <v>2.62</v>
      </c>
      <c r="C6">
        <v>2.59</v>
      </c>
      <c r="D6">
        <v>3.78</v>
      </c>
      <c r="F6" t="s">
        <v>48</v>
      </c>
      <c r="G6">
        <f>Table36[[#This Row],[U1]]</f>
        <v>2.62</v>
      </c>
      <c r="H6">
        <f>Table36[[#This Row],[U2]]</f>
        <v>2.59</v>
      </c>
      <c r="I6">
        <f>Table36[[#This Row],[U3]]</f>
        <v>3.78</v>
      </c>
      <c r="J6">
        <f>SUM(Table37[[#This Row],[U1]:[U3]])</f>
        <v>8.99</v>
      </c>
      <c r="K6" s="3">
        <f>AVERAGE(Table37[[#This Row],[U1]:[U3]])</f>
        <v>2.9966666666666666</v>
      </c>
      <c r="L6" s="3">
        <f>_xlfn.STDEV.P(Table37[[#This Row],[U1]:[Total]])</f>
        <v>2.6391712714410938</v>
      </c>
      <c r="N6" s="104" t="s">
        <v>70</v>
      </c>
      <c r="O6" s="53">
        <v>2.67</v>
      </c>
      <c r="P6" s="53">
        <v>3.2</v>
      </c>
      <c r="Q6" s="54">
        <v>13.56</v>
      </c>
      <c r="R6" s="106">
        <f>SUM(O6:Q8)</f>
        <v>73.529999999999987</v>
      </c>
      <c r="S6" s="106">
        <f>AVERAGE(O6:Q8)</f>
        <v>8.1699999999999982</v>
      </c>
      <c r="T6" s="62"/>
      <c r="U6" s="104" t="s">
        <v>233</v>
      </c>
      <c r="V6" s="64">
        <f t="shared" si="1"/>
        <v>7.1288999999999998</v>
      </c>
      <c r="W6" s="64">
        <f t="shared" si="0"/>
        <v>10.240000000000002</v>
      </c>
      <c r="X6" s="64">
        <f t="shared" si="0"/>
        <v>183.87360000000001</v>
      </c>
      <c r="Y6" s="106">
        <f>SUM(V6:X8)</f>
        <v>817.28349999999989</v>
      </c>
      <c r="Z6" s="106">
        <f t="shared" ref="Z6" si="2">Y6*9</f>
        <v>7355.5514999999987</v>
      </c>
      <c r="AA6" s="106">
        <f>R6^2</f>
        <v>5406.660899999998</v>
      </c>
      <c r="AB6" s="106">
        <f t="shared" ref="AB6" si="3">Z6-AA6</f>
        <v>1948.8906000000006</v>
      </c>
      <c r="AC6" s="106">
        <f t="shared" ref="AC6" si="4">AB6/8</f>
        <v>243.61132500000008</v>
      </c>
      <c r="AD6" s="106">
        <f t="shared" ref="AD6" si="5">SQRT(AC6)</f>
        <v>15.608053209801666</v>
      </c>
      <c r="AE6" s="106">
        <f t="shared" ref="AE6" si="6">(1/9)*AD6</f>
        <v>1.7342281344224073</v>
      </c>
      <c r="AF6" s="109">
        <f>AE6/S6</f>
        <v>0.21226782551069862</v>
      </c>
    </row>
    <row r="7" spans="1:32" x14ac:dyDescent="0.35">
      <c r="A7" t="s">
        <v>49</v>
      </c>
      <c r="B7">
        <v>12.69</v>
      </c>
      <c r="C7">
        <v>12.2</v>
      </c>
      <c r="D7">
        <v>15.33</v>
      </c>
      <c r="F7" t="s">
        <v>49</v>
      </c>
      <c r="G7">
        <f>Table36[[#This Row],[U1]]</f>
        <v>12.69</v>
      </c>
      <c r="H7">
        <f>Table36[[#This Row],[U2]]</f>
        <v>12.2</v>
      </c>
      <c r="I7">
        <f>Table36[[#This Row],[U3]]</f>
        <v>15.33</v>
      </c>
      <c r="J7">
        <f>SUM(Table37[[#This Row],[U1]:[U3]])</f>
        <v>40.22</v>
      </c>
      <c r="K7" s="3">
        <f>AVERAGE(Table37[[#This Row],[U1]:[U3]])</f>
        <v>13.406666666666666</v>
      </c>
      <c r="L7" s="3">
        <f>_xlfn.STDEV.P(Table37[[#This Row],[U1]:[Total]])</f>
        <v>11.671385950263147</v>
      </c>
      <c r="N7" s="104"/>
      <c r="O7" s="53">
        <v>12.69</v>
      </c>
      <c r="P7" s="53">
        <v>12.2</v>
      </c>
      <c r="Q7" s="54">
        <v>15.33</v>
      </c>
      <c r="R7" s="107"/>
      <c r="S7" s="107"/>
      <c r="T7" s="62"/>
      <c r="U7" s="104"/>
      <c r="V7" s="28">
        <f t="shared" si="1"/>
        <v>161.03609999999998</v>
      </c>
      <c r="W7" s="28">
        <f t="shared" si="0"/>
        <v>148.83999999999997</v>
      </c>
      <c r="X7" s="28">
        <f t="shared" si="0"/>
        <v>235.00890000000001</v>
      </c>
      <c r="Y7" s="107"/>
      <c r="Z7" s="107"/>
      <c r="AA7" s="107"/>
      <c r="AB7" s="107"/>
      <c r="AC7" s="107"/>
      <c r="AD7" s="107"/>
      <c r="AE7" s="107"/>
      <c r="AF7" s="110"/>
    </row>
    <row r="8" spans="1:32" x14ac:dyDescent="0.35">
      <c r="A8" t="s">
        <v>50</v>
      </c>
      <c r="B8">
        <v>10.73</v>
      </c>
      <c r="C8">
        <v>12.86</v>
      </c>
      <c r="D8">
        <v>8.65</v>
      </c>
      <c r="F8" t="s">
        <v>50</v>
      </c>
      <c r="G8">
        <f>Table36[[#This Row],[U1]]</f>
        <v>10.73</v>
      </c>
      <c r="H8">
        <f>Table36[[#This Row],[U2]]</f>
        <v>12.86</v>
      </c>
      <c r="I8">
        <f>Table36[[#This Row],[U3]]</f>
        <v>8.65</v>
      </c>
      <c r="J8">
        <f>SUM(Table37[[#This Row],[U1]:[U3]])</f>
        <v>32.24</v>
      </c>
      <c r="K8" s="3">
        <f>AVERAGE(Table37[[#This Row],[U1]:[U3]])</f>
        <v>10.746666666666668</v>
      </c>
      <c r="L8" s="3">
        <f>_xlfn.STDEV.P(Table37[[#This Row],[U1]:[Total]])</f>
        <v>9.425165781035366</v>
      </c>
      <c r="N8" s="105"/>
      <c r="O8" s="53">
        <v>6.3</v>
      </c>
      <c r="P8" s="53">
        <v>4.96</v>
      </c>
      <c r="Q8" s="54">
        <v>2.62</v>
      </c>
      <c r="R8" s="108"/>
      <c r="S8" s="108"/>
      <c r="T8" s="62"/>
      <c r="U8" s="105"/>
      <c r="V8" s="63">
        <f t="shared" si="1"/>
        <v>39.69</v>
      </c>
      <c r="W8" s="63">
        <f t="shared" si="0"/>
        <v>24.601600000000001</v>
      </c>
      <c r="X8" s="63">
        <f t="shared" si="0"/>
        <v>6.8644000000000007</v>
      </c>
      <c r="Y8" s="108"/>
      <c r="Z8" s="108"/>
      <c r="AA8" s="108"/>
      <c r="AB8" s="108"/>
      <c r="AC8" s="108"/>
      <c r="AD8" s="108"/>
      <c r="AE8" s="108"/>
      <c r="AF8" s="111"/>
    </row>
    <row r="9" spans="1:32" x14ac:dyDescent="0.35">
      <c r="A9" t="s">
        <v>51</v>
      </c>
      <c r="B9">
        <v>3.9</v>
      </c>
      <c r="C9">
        <v>6.71</v>
      </c>
      <c r="D9">
        <v>5.67</v>
      </c>
      <c r="F9" t="s">
        <v>51</v>
      </c>
      <c r="G9">
        <f>Table36[[#This Row],[U1]]</f>
        <v>3.9</v>
      </c>
      <c r="H9">
        <f>Table36[[#This Row],[U2]]</f>
        <v>6.71</v>
      </c>
      <c r="I9">
        <f>Table36[[#This Row],[U3]]</f>
        <v>5.67</v>
      </c>
      <c r="J9">
        <f>SUM(Table37[[#This Row],[U1]:[U3]])</f>
        <v>16.28</v>
      </c>
      <c r="K9" s="3">
        <f>AVERAGE(Table37[[#This Row],[U1]:[U3]])</f>
        <v>5.4266666666666667</v>
      </c>
      <c r="L9" s="3">
        <f>_xlfn.STDEV.P(Table37[[#This Row],[U1]:[Total]])</f>
        <v>4.8058037829274713</v>
      </c>
      <c r="N9" s="104" t="s">
        <v>71</v>
      </c>
      <c r="O9" s="53">
        <v>13.61</v>
      </c>
      <c r="P9" s="53">
        <v>16.18</v>
      </c>
      <c r="Q9" s="54">
        <v>2.59</v>
      </c>
      <c r="R9" s="106">
        <f>SUM(O9:Q11)</f>
        <v>113.23</v>
      </c>
      <c r="S9" s="106">
        <f>AVERAGE(O9:Q11)</f>
        <v>12.581111111111111</v>
      </c>
      <c r="T9" s="62"/>
      <c r="U9" s="104" t="s">
        <v>234</v>
      </c>
      <c r="V9" s="64">
        <f t="shared" si="1"/>
        <v>185.23209999999997</v>
      </c>
      <c r="W9" s="64">
        <f t="shared" si="0"/>
        <v>261.79239999999999</v>
      </c>
      <c r="X9" s="64">
        <f t="shared" si="0"/>
        <v>6.7080999999999991</v>
      </c>
      <c r="Y9" s="106">
        <f>SUM(V9:X11)</f>
        <v>1625.0760999999998</v>
      </c>
      <c r="Z9" s="106">
        <f t="shared" ref="Z9" si="7">Y9*9</f>
        <v>14625.684899999998</v>
      </c>
      <c r="AA9" s="106">
        <f>R9^2</f>
        <v>12821.0329</v>
      </c>
      <c r="AB9" s="106">
        <f t="shared" ref="AB9" si="8">Z9-AA9</f>
        <v>1804.6519999999982</v>
      </c>
      <c r="AC9" s="106">
        <f t="shared" ref="AC9" si="9">AB9/8</f>
        <v>225.58149999999978</v>
      </c>
      <c r="AD9" s="106">
        <f t="shared" ref="AD9" si="10">SQRT(AC9)</f>
        <v>15.019370825703712</v>
      </c>
      <c r="AE9" s="106">
        <f t="shared" ref="AE9" si="11">(1/9)*AD9</f>
        <v>1.6688189806337457</v>
      </c>
      <c r="AF9" s="109">
        <f>AE9/S9</f>
        <v>0.13264480107483628</v>
      </c>
    </row>
    <row r="10" spans="1:32" x14ac:dyDescent="0.35">
      <c r="A10" t="s">
        <v>52</v>
      </c>
      <c r="B10">
        <v>6.3</v>
      </c>
      <c r="C10">
        <v>4.96</v>
      </c>
      <c r="D10">
        <v>2.62</v>
      </c>
      <c r="F10" t="s">
        <v>52</v>
      </c>
      <c r="G10">
        <f>Table36[[#This Row],[U1]]</f>
        <v>6.3</v>
      </c>
      <c r="H10">
        <f>Table36[[#This Row],[U2]]</f>
        <v>4.96</v>
      </c>
      <c r="I10">
        <f>Table36[[#This Row],[U3]]</f>
        <v>2.62</v>
      </c>
      <c r="J10">
        <f>SUM(Table37[[#This Row],[U1]:[U3]])</f>
        <v>13.879999999999999</v>
      </c>
      <c r="K10" s="3">
        <f>AVERAGE(Table37[[#This Row],[U1]:[U3]])</f>
        <v>4.626666666666666</v>
      </c>
      <c r="L10" s="3">
        <f>_xlfn.STDEV.P(Table37[[#This Row],[U1]:[Total]])</f>
        <v>4.2177007954571639</v>
      </c>
      <c r="N10" s="104"/>
      <c r="O10" s="53">
        <v>10.73</v>
      </c>
      <c r="P10" s="53">
        <v>12.86</v>
      </c>
      <c r="Q10" s="54">
        <v>8.65</v>
      </c>
      <c r="R10" s="107"/>
      <c r="S10" s="107"/>
      <c r="T10" s="62"/>
      <c r="U10" s="104"/>
      <c r="V10" s="28">
        <f t="shared" si="1"/>
        <v>115.13290000000001</v>
      </c>
      <c r="W10" s="28">
        <f t="shared" si="0"/>
        <v>165.37959999999998</v>
      </c>
      <c r="X10" s="28">
        <f t="shared" si="0"/>
        <v>74.822500000000005</v>
      </c>
      <c r="Y10" s="107"/>
      <c r="Z10" s="107"/>
      <c r="AA10" s="107"/>
      <c r="AB10" s="107"/>
      <c r="AC10" s="107"/>
      <c r="AD10" s="107"/>
      <c r="AE10" s="107"/>
      <c r="AF10" s="110"/>
    </row>
    <row r="11" spans="1:32" x14ac:dyDescent="0.35">
      <c r="A11" t="s">
        <v>53</v>
      </c>
      <c r="B11">
        <v>19.54</v>
      </c>
      <c r="C11">
        <v>12.12</v>
      </c>
      <c r="D11">
        <v>16.95</v>
      </c>
      <c r="F11" t="s">
        <v>53</v>
      </c>
      <c r="G11">
        <f>Table36[[#This Row],[U1]]</f>
        <v>19.54</v>
      </c>
      <c r="H11">
        <f>Table36[[#This Row],[U2]]</f>
        <v>12.12</v>
      </c>
      <c r="I11">
        <f>Table36[[#This Row],[U3]]</f>
        <v>16.95</v>
      </c>
      <c r="J11">
        <f>SUM(Table37[[#This Row],[U1]:[U3]])</f>
        <v>48.61</v>
      </c>
      <c r="K11" s="3">
        <f>AVERAGE(Table37[[#This Row],[U1]:[U3]])</f>
        <v>16.203333333333333</v>
      </c>
      <c r="L11" s="3">
        <f>_xlfn.STDEV.P(Table37[[#This Row],[U1]:[Total]])</f>
        <v>14.28293124677144</v>
      </c>
      <c r="N11" s="105"/>
      <c r="O11" s="51">
        <v>19.54</v>
      </c>
      <c r="P11" s="51">
        <v>12.12</v>
      </c>
      <c r="Q11" s="52">
        <v>16.95</v>
      </c>
      <c r="R11" s="108"/>
      <c r="S11" s="108"/>
      <c r="T11" s="62"/>
      <c r="U11" s="105"/>
      <c r="V11" s="63">
        <f t="shared" si="1"/>
        <v>381.81159999999994</v>
      </c>
      <c r="W11" s="63">
        <f t="shared" si="0"/>
        <v>146.89439999999999</v>
      </c>
      <c r="X11" s="63">
        <f t="shared" si="0"/>
        <v>287.30249999999995</v>
      </c>
      <c r="Y11" s="108"/>
      <c r="Z11" s="108"/>
      <c r="AA11" s="108"/>
      <c r="AB11" s="108"/>
      <c r="AC11" s="108"/>
      <c r="AD11" s="108"/>
      <c r="AE11" s="108"/>
      <c r="AF11" s="111"/>
    </row>
    <row r="12" spans="1:32" x14ac:dyDescent="0.35">
      <c r="F12" t="s">
        <v>54</v>
      </c>
      <c r="G12">
        <f>SUM(G3:G11)</f>
        <v>75.02</v>
      </c>
      <c r="H12">
        <f>SUM(H3:H11)</f>
        <v>75.100000000000009</v>
      </c>
      <c r="I12">
        <f>SUM(I3:I11)</f>
        <v>86.77</v>
      </c>
      <c r="J12">
        <f>SUM(J3:J11)</f>
        <v>236.89</v>
      </c>
      <c r="N12" s="104" t="s">
        <v>65</v>
      </c>
      <c r="O12" s="53">
        <v>2.96</v>
      </c>
      <c r="P12" s="53">
        <v>4.28</v>
      </c>
      <c r="Q12" s="54">
        <v>17.62</v>
      </c>
      <c r="R12" s="106">
        <f>SUM(O12:Q14)</f>
        <v>76.67</v>
      </c>
      <c r="S12" s="106">
        <f>AVERAGE(O12:Q14)</f>
        <v>8.5188888888888883</v>
      </c>
      <c r="T12" s="62"/>
      <c r="U12" s="104" t="s">
        <v>236</v>
      </c>
      <c r="V12" s="64">
        <f t="shared" si="1"/>
        <v>8.7615999999999996</v>
      </c>
      <c r="W12" s="64">
        <f t="shared" si="0"/>
        <v>18.3184</v>
      </c>
      <c r="X12" s="64">
        <f t="shared" si="0"/>
        <v>310.46440000000001</v>
      </c>
      <c r="Y12" s="106">
        <f>SUM(V12:X14)</f>
        <v>992.51949999999999</v>
      </c>
      <c r="Z12" s="106">
        <f t="shared" ref="Z12" si="12">Y12*9</f>
        <v>8932.6754999999994</v>
      </c>
      <c r="AA12" s="106">
        <f>R12^2</f>
        <v>5878.2889000000005</v>
      </c>
      <c r="AB12" s="106">
        <f t="shared" ref="AB12" si="13">Z12-AA12</f>
        <v>3054.3865999999989</v>
      </c>
      <c r="AC12" s="106">
        <f t="shared" ref="AC12" si="14">AB12/8</f>
        <v>381.79832499999986</v>
      </c>
      <c r="AD12" s="106">
        <f t="shared" ref="AD12" si="15">SQRT(AC12)</f>
        <v>19.539660309227482</v>
      </c>
      <c r="AE12" s="106">
        <f t="shared" ref="AE12" si="16">(1/9)*AD12</f>
        <v>2.1710733676919425</v>
      </c>
      <c r="AF12" s="109">
        <f>AE12/S12</f>
        <v>0.25485405385714732</v>
      </c>
    </row>
    <row r="13" spans="1:32" x14ac:dyDescent="0.35">
      <c r="F13" t="s">
        <v>93</v>
      </c>
      <c r="G13" s="3">
        <f>AVERAGE(G3:G11)</f>
        <v>8.3355555555555547</v>
      </c>
      <c r="H13" s="3">
        <f>AVERAGE(H3:H11)</f>
        <v>8.344444444444445</v>
      </c>
      <c r="I13" s="3">
        <f>AVERAGE(I3:I11)</f>
        <v>9.6411111111111101</v>
      </c>
      <c r="N13" s="104"/>
      <c r="O13" s="53">
        <v>2.67</v>
      </c>
      <c r="P13" s="53">
        <v>3.2</v>
      </c>
      <c r="Q13" s="54">
        <v>13.56</v>
      </c>
      <c r="R13" s="107"/>
      <c r="S13" s="107"/>
      <c r="T13" s="62"/>
      <c r="U13" s="104"/>
      <c r="V13" s="28">
        <f t="shared" si="1"/>
        <v>7.1288999999999998</v>
      </c>
      <c r="W13" s="28">
        <f t="shared" si="0"/>
        <v>10.240000000000002</v>
      </c>
      <c r="X13" s="28">
        <f t="shared" si="0"/>
        <v>183.87360000000001</v>
      </c>
      <c r="Y13" s="107"/>
      <c r="Z13" s="107"/>
      <c r="AA13" s="107"/>
      <c r="AB13" s="107"/>
      <c r="AC13" s="107"/>
      <c r="AD13" s="107"/>
      <c r="AE13" s="107"/>
      <c r="AF13" s="110"/>
    </row>
    <row r="14" spans="1:32" x14ac:dyDescent="0.35">
      <c r="N14" s="105"/>
      <c r="O14" s="53">
        <v>13.61</v>
      </c>
      <c r="P14" s="53">
        <v>16.18</v>
      </c>
      <c r="Q14" s="54">
        <v>2.59</v>
      </c>
      <c r="R14" s="108"/>
      <c r="S14" s="108"/>
      <c r="T14" s="62"/>
      <c r="U14" s="105"/>
      <c r="V14" s="63">
        <f t="shared" si="1"/>
        <v>185.23209999999997</v>
      </c>
      <c r="W14" s="63">
        <f t="shared" si="0"/>
        <v>261.79239999999999</v>
      </c>
      <c r="X14" s="63">
        <f t="shared" si="0"/>
        <v>6.7080999999999991</v>
      </c>
      <c r="Y14" s="108"/>
      <c r="Z14" s="108"/>
      <c r="AA14" s="108"/>
      <c r="AB14" s="108"/>
      <c r="AC14" s="108"/>
      <c r="AD14" s="108"/>
      <c r="AE14" s="108"/>
      <c r="AF14" s="111"/>
    </row>
    <row r="15" spans="1:32" x14ac:dyDescent="0.35">
      <c r="F15" s="67" t="s">
        <v>58</v>
      </c>
      <c r="G15" s="68">
        <f>(J12^2)/(J15*J16)</f>
        <v>2078.4026703703703</v>
      </c>
      <c r="I15" t="s">
        <v>63</v>
      </c>
      <c r="J15">
        <v>9</v>
      </c>
      <c r="K15" s="67" t="s">
        <v>245</v>
      </c>
      <c r="L15" s="69">
        <f>(SUMSQ(J23:J25)/(J15))-G15</f>
        <v>1.275585185185264</v>
      </c>
      <c r="N15" s="104" t="s">
        <v>66</v>
      </c>
      <c r="O15" s="53">
        <v>2.62</v>
      </c>
      <c r="P15" s="53">
        <v>2.59</v>
      </c>
      <c r="Q15" s="54">
        <v>3.78</v>
      </c>
      <c r="R15" s="106">
        <f>SUM(O15:Q17)</f>
        <v>81.45</v>
      </c>
      <c r="S15" s="106">
        <f>AVERAGE(O15:Q17)</f>
        <v>9.0500000000000007</v>
      </c>
      <c r="T15" s="62"/>
      <c r="U15" s="104" t="s">
        <v>237</v>
      </c>
      <c r="V15" s="64">
        <f t="shared" si="1"/>
        <v>6.8644000000000007</v>
      </c>
      <c r="W15" s="64">
        <f t="shared" si="0"/>
        <v>6.7080999999999991</v>
      </c>
      <c r="X15" s="64">
        <f t="shared" si="0"/>
        <v>14.288399999999999</v>
      </c>
      <c r="Y15" s="106">
        <f>SUM(V15:X17)</f>
        <v>928.08089999999993</v>
      </c>
      <c r="Z15" s="106">
        <f t="shared" ref="Z15" si="17">Y15*9</f>
        <v>8352.7281000000003</v>
      </c>
      <c r="AA15" s="106">
        <f>R15^2</f>
        <v>6634.1025000000009</v>
      </c>
      <c r="AB15" s="106">
        <f t="shared" ref="AB15" si="18">Z15-AA15</f>
        <v>1718.6255999999994</v>
      </c>
      <c r="AC15" s="106">
        <f t="shared" ref="AC15" si="19">AB15/8</f>
        <v>214.82819999999992</v>
      </c>
      <c r="AD15" s="106">
        <f t="shared" ref="AD15" si="20">SQRT(AC15)</f>
        <v>14.657018796467442</v>
      </c>
      <c r="AE15" s="106">
        <f t="shared" ref="AE15" si="21">(1/9)*AD15</f>
        <v>1.6285576440519378</v>
      </c>
      <c r="AF15" s="109">
        <f>AE15/S15</f>
        <v>0.17995112088971688</v>
      </c>
    </row>
    <row r="16" spans="1:32" x14ac:dyDescent="0.35">
      <c r="F16" s="67" t="s">
        <v>59</v>
      </c>
      <c r="G16" s="31">
        <f>(SUMSQ(G3:I11))-G15</f>
        <v>821.74522962962965</v>
      </c>
      <c r="I16" t="s">
        <v>64</v>
      </c>
      <c r="J16">
        <v>3</v>
      </c>
      <c r="K16" s="67" t="s">
        <v>246</v>
      </c>
      <c r="L16" s="69">
        <f>(SUMSQ(G26:I26)/(J15))-G15</f>
        <v>226.12074074074098</v>
      </c>
      <c r="N16" s="104"/>
      <c r="O16" s="53">
        <v>12.69</v>
      </c>
      <c r="P16" s="53">
        <v>12.2</v>
      </c>
      <c r="Q16" s="54">
        <v>15.33</v>
      </c>
      <c r="R16" s="107"/>
      <c r="S16" s="107"/>
      <c r="T16" s="62"/>
      <c r="U16" s="104"/>
      <c r="V16" s="28">
        <f t="shared" si="1"/>
        <v>161.03609999999998</v>
      </c>
      <c r="W16" s="28">
        <f t="shared" si="0"/>
        <v>148.83999999999997</v>
      </c>
      <c r="X16" s="28">
        <f t="shared" si="0"/>
        <v>235.00890000000001</v>
      </c>
      <c r="Y16" s="107"/>
      <c r="Z16" s="107"/>
      <c r="AA16" s="107"/>
      <c r="AB16" s="107"/>
      <c r="AC16" s="107"/>
      <c r="AD16" s="107"/>
      <c r="AE16" s="107"/>
      <c r="AF16" s="110"/>
    </row>
    <row r="17" spans="6:32" x14ac:dyDescent="0.35">
      <c r="F17" s="67" t="s">
        <v>60</v>
      </c>
      <c r="G17" s="31">
        <f>(SUMSQ(G12:I12)/J15)-G15</f>
        <v>10.157696296296308</v>
      </c>
      <c r="K17" s="67" t="s">
        <v>244</v>
      </c>
      <c r="L17" s="69">
        <f>G18-L16-L15</f>
        <v>228.37430370370384</v>
      </c>
      <c r="N17" s="105"/>
      <c r="O17" s="53">
        <v>10.73</v>
      </c>
      <c r="P17" s="53">
        <v>12.86</v>
      </c>
      <c r="Q17" s="54">
        <v>8.65</v>
      </c>
      <c r="R17" s="108"/>
      <c r="S17" s="108"/>
      <c r="T17" s="62"/>
      <c r="U17" s="105"/>
      <c r="V17" s="63">
        <f t="shared" si="1"/>
        <v>115.13290000000001</v>
      </c>
      <c r="W17" s="63">
        <f t="shared" si="0"/>
        <v>165.37959999999998</v>
      </c>
      <c r="X17" s="63">
        <f t="shared" si="0"/>
        <v>74.822500000000005</v>
      </c>
      <c r="Y17" s="108"/>
      <c r="Z17" s="108"/>
      <c r="AA17" s="108"/>
      <c r="AB17" s="108"/>
      <c r="AC17" s="108"/>
      <c r="AD17" s="108"/>
      <c r="AE17" s="108"/>
      <c r="AF17" s="111"/>
    </row>
    <row r="18" spans="6:32" x14ac:dyDescent="0.35">
      <c r="F18" s="67" t="s">
        <v>61</v>
      </c>
      <c r="G18" s="31">
        <f>(SUMSQ(J3:J11)/J16)-G15</f>
        <v>455.77062962963009</v>
      </c>
      <c r="N18" s="104" t="s">
        <v>67</v>
      </c>
      <c r="O18" s="53">
        <v>3.9</v>
      </c>
      <c r="P18" s="53">
        <v>6.71</v>
      </c>
      <c r="Q18" s="54">
        <v>5.67</v>
      </c>
      <c r="R18" s="106">
        <f>SUM(O18:Q20)</f>
        <v>78.77</v>
      </c>
      <c r="S18" s="106">
        <f>AVERAGE(O18:Q20)</f>
        <v>8.7522222222222226</v>
      </c>
      <c r="T18" s="62"/>
      <c r="U18" s="104" t="s">
        <v>238</v>
      </c>
      <c r="V18" s="64">
        <f t="shared" si="1"/>
        <v>15.209999999999999</v>
      </c>
      <c r="W18" s="64">
        <f t="shared" si="0"/>
        <v>45.024099999999997</v>
      </c>
      <c r="X18" s="64">
        <f t="shared" si="0"/>
        <v>32.148899999999998</v>
      </c>
      <c r="Y18" s="106">
        <f>SUM(V18:X20)</f>
        <v>979.5474999999999</v>
      </c>
      <c r="Z18" s="106">
        <f t="shared" ref="Z18" si="22">Y18*9</f>
        <v>8815.9274999999998</v>
      </c>
      <c r="AA18" s="106">
        <f>R18^2</f>
        <v>6204.7128999999995</v>
      </c>
      <c r="AB18" s="106">
        <f t="shared" ref="AB18" si="23">Z18-AA18</f>
        <v>2611.2146000000002</v>
      </c>
      <c r="AC18" s="106">
        <f t="shared" ref="AC18" si="24">AB18/8</f>
        <v>326.40182500000003</v>
      </c>
      <c r="AD18" s="106">
        <f t="shared" ref="AD18" si="25">SQRT(AC18)</f>
        <v>18.066594172671284</v>
      </c>
      <c r="AE18" s="106">
        <f t="shared" ref="AE18" si="26">(1/9)*AD18</f>
        <v>2.0073993525190312</v>
      </c>
      <c r="AF18" s="109">
        <f>AE18/S18</f>
        <v>0.22935881900052407</v>
      </c>
    </row>
    <row r="19" spans="6:32" x14ac:dyDescent="0.35">
      <c r="F19" s="67" t="s">
        <v>62</v>
      </c>
      <c r="G19" s="31">
        <f>G16-G17-G18</f>
        <v>355.81690370370325</v>
      </c>
      <c r="N19" s="104"/>
      <c r="O19" s="53">
        <v>6.3</v>
      </c>
      <c r="P19" s="53">
        <v>4.96</v>
      </c>
      <c r="Q19" s="54">
        <v>2.62</v>
      </c>
      <c r="R19" s="107"/>
      <c r="S19" s="107"/>
      <c r="T19" s="62"/>
      <c r="U19" s="104"/>
      <c r="V19" s="28">
        <f t="shared" si="1"/>
        <v>39.69</v>
      </c>
      <c r="W19" s="28">
        <f t="shared" si="0"/>
        <v>24.601600000000001</v>
      </c>
      <c r="X19" s="28">
        <f t="shared" si="0"/>
        <v>6.8644000000000007</v>
      </c>
      <c r="Y19" s="107"/>
      <c r="Z19" s="107"/>
      <c r="AA19" s="107"/>
      <c r="AB19" s="107"/>
      <c r="AC19" s="107"/>
      <c r="AD19" s="107"/>
      <c r="AE19" s="107"/>
      <c r="AF19" s="110"/>
    </row>
    <row r="20" spans="6:32" x14ac:dyDescent="0.35">
      <c r="N20" s="105"/>
      <c r="O20" s="51">
        <v>19.54</v>
      </c>
      <c r="P20" s="51">
        <v>12.12</v>
      </c>
      <c r="Q20" s="52">
        <v>16.95</v>
      </c>
      <c r="R20" s="108"/>
      <c r="S20" s="108"/>
      <c r="T20" s="62"/>
      <c r="U20" s="105"/>
      <c r="V20" s="63">
        <f t="shared" si="1"/>
        <v>381.81159999999994</v>
      </c>
      <c r="W20" s="63">
        <f t="shared" si="0"/>
        <v>146.89439999999999</v>
      </c>
      <c r="X20" s="63">
        <f t="shared" si="0"/>
        <v>287.30249999999995</v>
      </c>
      <c r="Y20" s="108"/>
      <c r="Z20" s="108"/>
      <c r="AA20" s="108"/>
      <c r="AB20" s="108"/>
      <c r="AC20" s="108"/>
      <c r="AD20" s="108"/>
      <c r="AE20" s="108"/>
      <c r="AF20" s="111"/>
    </row>
    <row r="21" spans="6:32" x14ac:dyDescent="0.35">
      <c r="F21" t="s">
        <v>91</v>
      </c>
    </row>
    <row r="22" spans="6:32" x14ac:dyDescent="0.35">
      <c r="F22" t="s">
        <v>41</v>
      </c>
      <c r="G22" t="s">
        <v>69</v>
      </c>
      <c r="H22" t="s">
        <v>70</v>
      </c>
      <c r="I22" t="s">
        <v>71</v>
      </c>
      <c r="J22" t="s">
        <v>54</v>
      </c>
      <c r="K22" t="s">
        <v>93</v>
      </c>
    </row>
    <row r="23" spans="6:32" x14ac:dyDescent="0.35">
      <c r="F23" t="s">
        <v>65</v>
      </c>
      <c r="G23" s="3">
        <f>J3</f>
        <v>24.86</v>
      </c>
      <c r="H23" s="3">
        <f>J4</f>
        <v>19.43</v>
      </c>
      <c r="I23" s="3">
        <f>J5</f>
        <v>32.379999999999995</v>
      </c>
      <c r="J23" s="3">
        <f>SUM(Table1953808490[[#This Row],[S1]:[S3]])</f>
        <v>76.669999999999987</v>
      </c>
      <c r="K23" s="3">
        <f>Table1953808490[[#This Row],[Total]]/9</f>
        <v>8.5188888888888883</v>
      </c>
    </row>
    <row r="24" spans="6:32" x14ac:dyDescent="0.35">
      <c r="F24" t="s">
        <v>66</v>
      </c>
      <c r="G24" s="3">
        <f>J6</f>
        <v>8.99</v>
      </c>
      <c r="H24" s="3">
        <f>J7</f>
        <v>40.22</v>
      </c>
      <c r="I24" s="3">
        <f>J8</f>
        <v>32.24</v>
      </c>
      <c r="J24" s="3">
        <f>SUM(Table1953808490[[#This Row],[S1]:[S3]])</f>
        <v>81.45</v>
      </c>
      <c r="K24" s="3">
        <f>Table1953808490[[#This Row],[Total]]/9</f>
        <v>9.0500000000000007</v>
      </c>
    </row>
    <row r="25" spans="6:32" x14ac:dyDescent="0.35">
      <c r="F25" t="s">
        <v>67</v>
      </c>
      <c r="G25" s="3">
        <f>J9</f>
        <v>16.28</v>
      </c>
      <c r="H25" s="3">
        <f>J10</f>
        <v>13.879999999999999</v>
      </c>
      <c r="I25" s="3">
        <f>J11</f>
        <v>48.61</v>
      </c>
      <c r="J25" s="3">
        <f>SUM(Table1953808490[[#This Row],[S1]:[S3]])</f>
        <v>78.77</v>
      </c>
      <c r="K25" s="3">
        <f>Table1953808490[[#This Row],[Total]]/9</f>
        <v>8.7522222222222226</v>
      </c>
    </row>
    <row r="26" spans="6:32" x14ac:dyDescent="0.35">
      <c r="F26" t="s">
        <v>54</v>
      </c>
      <c r="G26" s="3">
        <f>SUM(G23:G25)</f>
        <v>50.13</v>
      </c>
      <c r="H26" s="3">
        <f t="shared" ref="H26:I26" si="27">SUM(H23:H25)</f>
        <v>73.53</v>
      </c>
      <c r="I26" s="3">
        <f t="shared" si="27"/>
        <v>113.23</v>
      </c>
      <c r="J26" s="3">
        <f>SUM(J23:J25)</f>
        <v>236.89</v>
      </c>
      <c r="K26" s="3"/>
    </row>
    <row r="27" spans="6:32" x14ac:dyDescent="0.35">
      <c r="F27" t="s">
        <v>93</v>
      </c>
      <c r="G27" s="3">
        <f>G26/9</f>
        <v>5.57</v>
      </c>
      <c r="H27" s="3">
        <f t="shared" ref="H27:I27" si="28">H26/9</f>
        <v>8.17</v>
      </c>
      <c r="I27" s="3">
        <f t="shared" si="28"/>
        <v>12.581111111111111</v>
      </c>
      <c r="J27" s="3"/>
      <c r="K27" s="3"/>
    </row>
    <row r="28" spans="6:32" x14ac:dyDescent="0.35">
      <c r="F28" t="s">
        <v>73</v>
      </c>
    </row>
    <row r="29" spans="6:32" x14ac:dyDescent="0.35">
      <c r="F29" t="s">
        <v>74</v>
      </c>
      <c r="G29" t="s">
        <v>77</v>
      </c>
      <c r="H29" t="s">
        <v>78</v>
      </c>
      <c r="I29" t="s">
        <v>79</v>
      </c>
      <c r="J29" t="s">
        <v>80</v>
      </c>
      <c r="K29" t="s">
        <v>81</v>
      </c>
      <c r="L29" t="s">
        <v>82</v>
      </c>
      <c r="M29" t="s">
        <v>83</v>
      </c>
    </row>
    <row r="30" spans="6:32" x14ac:dyDescent="0.35">
      <c r="F30" s="72" t="s">
        <v>95</v>
      </c>
      <c r="G30" s="72">
        <v>2</v>
      </c>
      <c r="H30" s="73">
        <f>G17</f>
        <v>10.157696296296308</v>
      </c>
      <c r="I30" s="73">
        <f>Table4424778389[[#This Row],[J.K]]/Table4424778389[[#This Row],[d.b]]</f>
        <v>5.078848148148154</v>
      </c>
      <c r="J30" s="73">
        <f>I30/I35</f>
        <v>0.22838029763206191</v>
      </c>
      <c r="K30" s="73">
        <f t="shared" ref="K30:K31" si="29">FINV(0.05,G30,G35)</f>
        <v>3.6337234675916301</v>
      </c>
      <c r="L30" s="73">
        <f t="shared" ref="L30:L31" si="30">FINV(0.01,G30,G35)</f>
        <v>6.2262352803113821</v>
      </c>
      <c r="M30" s="72" t="str">
        <f t="shared" ref="M30:M34" si="31">IF(J30&lt;K30,"tidak berbeda nyata","berbeda nyata")</f>
        <v>tidak berbeda nyata</v>
      </c>
    </row>
    <row r="31" spans="6:32" x14ac:dyDescent="0.35">
      <c r="F31" s="72" t="s">
        <v>41</v>
      </c>
      <c r="G31" s="72">
        <v>8</v>
      </c>
      <c r="H31" s="73">
        <f>G18</f>
        <v>455.77062962963009</v>
      </c>
      <c r="I31" s="73">
        <f>Table4424778389[[#This Row],[J.K]]/Table4424778389[[#This Row],[d.b]]</f>
        <v>56.971328703703762</v>
      </c>
      <c r="J31" s="73">
        <f>I31/I35</f>
        <v>2.5618267422683245</v>
      </c>
      <c r="K31" s="73">
        <f t="shared" si="29"/>
        <v>2.3205272350337482</v>
      </c>
      <c r="L31" s="73">
        <f t="shared" si="30"/>
        <v>3.2883985212388325</v>
      </c>
      <c r="M31" s="72" t="str">
        <f t="shared" si="31"/>
        <v>berbeda nyata</v>
      </c>
    </row>
    <row r="32" spans="6:32" x14ac:dyDescent="0.35">
      <c r="F32" s="72" t="s">
        <v>76</v>
      </c>
      <c r="G32" s="72">
        <v>2</v>
      </c>
      <c r="H32" s="73">
        <f>L15</f>
        <v>1.275585185185264</v>
      </c>
      <c r="I32" s="73">
        <f>Table4424778389[[#This Row],[J.K]]/Table4424778389[[#This Row],[d.b]]</f>
        <v>0.63779259259263199</v>
      </c>
      <c r="J32" s="73">
        <f>I32/I35</f>
        <v>2.8679585975993373E-2</v>
      </c>
      <c r="K32" s="73">
        <f>FINV(0.05,G32,G35)</f>
        <v>3.6337234675916301</v>
      </c>
      <c r="L32" s="73">
        <f>FINV(0.01,G32,G35)</f>
        <v>6.2262352803113821</v>
      </c>
      <c r="M32" s="72" t="str">
        <f t="shared" si="31"/>
        <v>tidak berbeda nyata</v>
      </c>
    </row>
    <row r="33" spans="6:13" x14ac:dyDescent="0.35">
      <c r="F33" s="82" t="s">
        <v>239</v>
      </c>
      <c r="G33" s="82">
        <v>2</v>
      </c>
      <c r="H33" s="83">
        <f>L16</f>
        <v>226.12074074074098</v>
      </c>
      <c r="I33" s="83">
        <f>Table4424778389[[#This Row],[J.K]]/Table4424778389[[#This Row],[d.b]]</f>
        <v>113.06037037037049</v>
      </c>
      <c r="J33" s="83">
        <f>I33/I35</f>
        <v>5.0839797297328362</v>
      </c>
      <c r="K33" s="83">
        <f>FINV(0.05,G33,G35)</f>
        <v>3.6337234675916301</v>
      </c>
      <c r="L33" s="83">
        <f>FINV(0.01,G33,G35)</f>
        <v>6.2262352803113821</v>
      </c>
      <c r="M33" s="82" t="str">
        <f t="shared" si="31"/>
        <v>berbeda nyata</v>
      </c>
    </row>
    <row r="34" spans="6:13" x14ac:dyDescent="0.35">
      <c r="F34" s="70" t="s">
        <v>240</v>
      </c>
      <c r="G34" s="70">
        <v>4</v>
      </c>
      <c r="H34" s="71">
        <f>L17</f>
        <v>228.37430370370384</v>
      </c>
      <c r="I34" s="71">
        <f>Table4424778389[[#This Row],[J.K]]/Table4424778389[[#This Row],[d.b]]</f>
        <v>57.093575925925961</v>
      </c>
      <c r="J34" s="71">
        <f>I34/I35</f>
        <v>2.5673238266822338</v>
      </c>
      <c r="K34" s="71">
        <f>FINV(0.05,G34,G35)</f>
        <v>3.0069172799243447</v>
      </c>
      <c r="L34" s="71">
        <f>FINV(0.01,G34,G35)</f>
        <v>4.772577999723211</v>
      </c>
      <c r="M34" s="70" t="str">
        <f t="shared" si="31"/>
        <v>tidak berbeda nyata</v>
      </c>
    </row>
    <row r="35" spans="6:13" x14ac:dyDescent="0.35">
      <c r="F35" t="s">
        <v>96</v>
      </c>
      <c r="G35">
        <v>16</v>
      </c>
      <c r="H35" s="3">
        <f>G19</f>
        <v>355.81690370370325</v>
      </c>
      <c r="I35" s="3">
        <f>Table4424778389[[#This Row],[J.K]]/Table4424778389[[#This Row],[d.b]]</f>
        <v>22.238556481481453</v>
      </c>
      <c r="J35" s="3"/>
      <c r="K35" s="3"/>
      <c r="L35" s="3"/>
    </row>
    <row r="36" spans="6:13" x14ac:dyDescent="0.35">
      <c r="F36" t="s">
        <v>54</v>
      </c>
      <c r="G36">
        <v>26</v>
      </c>
      <c r="H36" s="3">
        <f>G16</f>
        <v>821.74522962962965</v>
      </c>
      <c r="I36" s="3">
        <f>Table4424778389[[#This Row],[J.K]]/Table4424778389[[#This Row],[d.b]]</f>
        <v>31.605585754985757</v>
      </c>
      <c r="J36" s="3"/>
      <c r="K36" s="3"/>
      <c r="L36" s="3"/>
    </row>
    <row r="38" spans="6:13" x14ac:dyDescent="0.35">
      <c r="F38" s="101" t="s">
        <v>242</v>
      </c>
      <c r="G38" s="101"/>
      <c r="H38" s="33"/>
      <c r="I38" s="38" t="s">
        <v>41</v>
      </c>
      <c r="J38" s="38" t="s">
        <v>68</v>
      </c>
      <c r="K38" s="38" t="s">
        <v>86</v>
      </c>
      <c r="L38" s="38"/>
    </row>
    <row r="39" spans="6:13" x14ac:dyDescent="0.35">
      <c r="F39" s="34" t="s">
        <v>229</v>
      </c>
      <c r="G39" s="35">
        <f>SQRT(I35/J15)</f>
        <v>1.5719257998279073</v>
      </c>
      <c r="H39" s="33"/>
      <c r="I39" s="39" t="s">
        <v>69</v>
      </c>
      <c r="J39" s="49">
        <f>G27</f>
        <v>5.57</v>
      </c>
      <c r="K39" s="40" t="s">
        <v>87</v>
      </c>
      <c r="L39" s="49">
        <f>J39+$G$41</f>
        <v>11.307529169371861</v>
      </c>
    </row>
    <row r="40" spans="6:13" x14ac:dyDescent="0.35">
      <c r="F40" s="34" t="s">
        <v>230</v>
      </c>
      <c r="G40" s="36">
        <v>3.65</v>
      </c>
      <c r="H40" s="33"/>
      <c r="I40" s="39" t="s">
        <v>70</v>
      </c>
      <c r="J40" s="49">
        <f>H27</f>
        <v>8.17</v>
      </c>
      <c r="K40" s="40" t="s">
        <v>87</v>
      </c>
      <c r="L40" s="49"/>
    </row>
    <row r="41" spans="6:13" x14ac:dyDescent="0.35">
      <c r="F41" s="34" t="s">
        <v>231</v>
      </c>
      <c r="G41" s="35">
        <f>G39*G40</f>
        <v>5.7375291693718617</v>
      </c>
      <c r="H41" s="33"/>
      <c r="I41" s="39" t="s">
        <v>71</v>
      </c>
      <c r="J41" s="49">
        <f>I27</f>
        <v>12.581111111111111</v>
      </c>
      <c r="K41" s="40" t="s">
        <v>88</v>
      </c>
      <c r="L41" s="49"/>
    </row>
    <row r="42" spans="6:13" x14ac:dyDescent="0.35">
      <c r="F42" s="37"/>
      <c r="G42" s="37"/>
      <c r="H42" s="37"/>
      <c r="I42" s="41" t="s">
        <v>235</v>
      </c>
      <c r="J42" s="55">
        <f>G41</f>
        <v>5.7375291693718617</v>
      </c>
      <c r="K42" s="42"/>
      <c r="L42" s="50"/>
    </row>
    <row r="43" spans="6:13" x14ac:dyDescent="0.35">
      <c r="I43" s="43" t="s">
        <v>65</v>
      </c>
      <c r="J43" s="49">
        <f>K23</f>
        <v>8.5188888888888883</v>
      </c>
      <c r="K43" s="40" t="s">
        <v>87</v>
      </c>
      <c r="L43" s="49">
        <f>J43+$G$41</f>
        <v>14.256418058260749</v>
      </c>
    </row>
    <row r="44" spans="6:13" x14ac:dyDescent="0.35">
      <c r="I44" s="43" t="s">
        <v>66</v>
      </c>
      <c r="J44" s="49">
        <f>K24</f>
        <v>9.0500000000000007</v>
      </c>
      <c r="K44" s="40" t="s">
        <v>87</v>
      </c>
      <c r="L44" s="49"/>
      <c r="M44" s="2"/>
    </row>
    <row r="45" spans="6:13" x14ac:dyDescent="0.35">
      <c r="I45" s="43" t="s">
        <v>67</v>
      </c>
      <c r="J45" s="49">
        <f>K25</f>
        <v>8.7522222222222226</v>
      </c>
      <c r="K45" s="40" t="s">
        <v>87</v>
      </c>
      <c r="L45" s="49"/>
    </row>
    <row r="46" spans="6:13" x14ac:dyDescent="0.35">
      <c r="I46" s="41" t="s">
        <v>235</v>
      </c>
      <c r="J46" s="50" t="s">
        <v>84</v>
      </c>
      <c r="K46" s="42"/>
      <c r="L46" s="42"/>
    </row>
    <row r="49" spans="10:18" x14ac:dyDescent="0.35">
      <c r="J49" s="2"/>
      <c r="L49" s="2"/>
      <c r="P49" s="11" t="s">
        <v>219</v>
      </c>
      <c r="Q49" s="11" t="s">
        <v>220</v>
      </c>
      <c r="R49" s="11" t="s">
        <v>221</v>
      </c>
    </row>
    <row r="50" spans="10:18" x14ac:dyDescent="0.35">
      <c r="J50" s="2"/>
      <c r="L50" s="2"/>
      <c r="M50" s="2"/>
      <c r="O50" t="s">
        <v>216</v>
      </c>
      <c r="P50" s="26">
        <f>M56</f>
        <v>0</v>
      </c>
      <c r="Q50" s="26">
        <f>M59</f>
        <v>0</v>
      </c>
      <c r="R50" s="26">
        <f>M62</f>
        <v>0</v>
      </c>
    </row>
    <row r="51" spans="10:18" x14ac:dyDescent="0.35">
      <c r="J51" s="2"/>
      <c r="O51" t="s">
        <v>217</v>
      </c>
      <c r="P51" s="26">
        <f t="shared" ref="P51:P52" si="32">M57</f>
        <v>0</v>
      </c>
      <c r="Q51" s="26">
        <f t="shared" ref="Q51:Q52" si="33">M60</f>
        <v>0</v>
      </c>
      <c r="R51" s="26">
        <f t="shared" ref="R51:R52" si="34">M63</f>
        <v>0</v>
      </c>
    </row>
    <row r="52" spans="10:18" x14ac:dyDescent="0.35">
      <c r="O52" t="s">
        <v>218</v>
      </c>
      <c r="P52" s="26">
        <f t="shared" si="32"/>
        <v>0</v>
      </c>
      <c r="Q52" s="26">
        <f t="shared" si="33"/>
        <v>0</v>
      </c>
      <c r="R52" s="26">
        <f t="shared" si="34"/>
        <v>0</v>
      </c>
    </row>
  </sheetData>
  <sortState xmlns:xlrd2="http://schemas.microsoft.com/office/spreadsheetml/2017/richdata2" ref="P56:Q64">
    <sortCondition ref="Q56:Q64"/>
  </sortState>
  <mergeCells count="75">
    <mergeCell ref="AD15:AD17"/>
    <mergeCell ref="AE15:AE17"/>
    <mergeCell ref="AF15:AF17"/>
    <mergeCell ref="AF18:AF20"/>
    <mergeCell ref="Z18:Z20"/>
    <mergeCell ref="AA18:AA20"/>
    <mergeCell ref="AB18:AB20"/>
    <mergeCell ref="AC18:AC20"/>
    <mergeCell ref="AD18:AD20"/>
    <mergeCell ref="AE18:AE20"/>
    <mergeCell ref="S18:S20"/>
    <mergeCell ref="U18:U20"/>
    <mergeCell ref="Y18:Y20"/>
    <mergeCell ref="AB15:AB17"/>
    <mergeCell ref="AC15:AC17"/>
    <mergeCell ref="AD12:AD14"/>
    <mergeCell ref="AE12:AE14"/>
    <mergeCell ref="AF12:AF14"/>
    <mergeCell ref="N15:N17"/>
    <mergeCell ref="R15:R17"/>
    <mergeCell ref="S15:S17"/>
    <mergeCell ref="U15:U17"/>
    <mergeCell ref="Y15:Y17"/>
    <mergeCell ref="Z15:Z17"/>
    <mergeCell ref="AA15:AA17"/>
    <mergeCell ref="U12:U14"/>
    <mergeCell ref="Y12:Y14"/>
    <mergeCell ref="Z12:Z14"/>
    <mergeCell ref="AA12:AA14"/>
    <mergeCell ref="AB12:AB14"/>
    <mergeCell ref="AC12:AC14"/>
    <mergeCell ref="Y9:Y11"/>
    <mergeCell ref="AF9:AF11"/>
    <mergeCell ref="AC6:AC8"/>
    <mergeCell ref="AD6:AD8"/>
    <mergeCell ref="AE6:AE8"/>
    <mergeCell ref="AF6:AF8"/>
    <mergeCell ref="AA9:AA11"/>
    <mergeCell ref="AB9:AB11"/>
    <mergeCell ref="AC9:AC11"/>
    <mergeCell ref="AD9:AD11"/>
    <mergeCell ref="AE9:AE11"/>
    <mergeCell ref="Z9:Z11"/>
    <mergeCell ref="AE3:AE5"/>
    <mergeCell ref="AF3:AF5"/>
    <mergeCell ref="N6:N8"/>
    <mergeCell ref="R6:R8"/>
    <mergeCell ref="S6:S8"/>
    <mergeCell ref="U6:U8"/>
    <mergeCell ref="Y6:Y8"/>
    <mergeCell ref="Z6:Z8"/>
    <mergeCell ref="AA6:AA8"/>
    <mergeCell ref="AB6:AB8"/>
    <mergeCell ref="Y3:Y5"/>
    <mergeCell ref="Z3:Z5"/>
    <mergeCell ref="AA3:AA5"/>
    <mergeCell ref="AB3:AB5"/>
    <mergeCell ref="AC3:AC5"/>
    <mergeCell ref="AD3:AD5"/>
    <mergeCell ref="F38:G38"/>
    <mergeCell ref="N2:Q2"/>
    <mergeCell ref="U2:X2"/>
    <mergeCell ref="N3:N5"/>
    <mergeCell ref="R3:R5"/>
    <mergeCell ref="S3:S5"/>
    <mergeCell ref="U3:U5"/>
    <mergeCell ref="N12:N14"/>
    <mergeCell ref="R12:R14"/>
    <mergeCell ref="S12:S14"/>
    <mergeCell ref="N9:N11"/>
    <mergeCell ref="R9:R11"/>
    <mergeCell ref="S9:S11"/>
    <mergeCell ref="U9:U11"/>
    <mergeCell ref="N18:N20"/>
    <mergeCell ref="R18:R20"/>
  </mergeCells>
  <phoneticPr fontId="2" type="noConversion"/>
  <conditionalFormatting sqref="P50:R52"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5">
      <colorScale>
        <cfvo type="min"/>
        <cfvo type="max"/>
        <color theme="1" tint="0.499984740745262"/>
        <color theme="0" tint="-4.9989318521683403E-2"/>
      </colorScale>
    </cfRule>
  </conditionalFormatting>
  <conditionalFormatting sqref="S3:S5">
    <cfRule type="cellIs" priority="1" operator="equal">
      <formula>#REF!</formula>
    </cfRule>
  </conditionalFormatting>
  <conditionalFormatting sqref="S3:T11">
    <cfRule type="colorScale" priority="3">
      <colorScale>
        <cfvo type="min"/>
        <cfvo type="max"/>
        <color rgb="FF63BE7B"/>
        <color rgb="FFFFEF9C"/>
      </colorScale>
    </cfRule>
  </conditionalFormatting>
  <conditionalFormatting sqref="S12:T20">
    <cfRule type="colorScale" priority="2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B886A-5859-4FE4-8854-965DFBEF1D3A}">
  <dimension ref="A2:AF61"/>
  <sheetViews>
    <sheetView topLeftCell="A25" zoomScaleNormal="100" workbookViewId="0">
      <selection activeCell="I38" sqref="I38:L46"/>
    </sheetView>
  </sheetViews>
  <sheetFormatPr defaultRowHeight="14.5" x14ac:dyDescent="0.35"/>
  <cols>
    <col min="1" max="1" width="10.26953125" customWidth="1"/>
    <col min="4" max="4" width="10.26953125" customWidth="1"/>
    <col min="6" max="6" width="16.54296875" customWidth="1"/>
    <col min="8" max="8" width="9.54296875" bestFit="1" customWidth="1"/>
    <col min="9" max="9" width="10.26953125" customWidth="1"/>
    <col min="10" max="10" width="10.453125" customWidth="1"/>
    <col min="11" max="11" width="11" customWidth="1"/>
    <col min="12" max="12" width="12.26953125" customWidth="1"/>
    <col min="15" max="30" width="0" hidden="1" customWidth="1"/>
  </cols>
  <sheetData>
    <row r="2" spans="1:32" x14ac:dyDescent="0.35">
      <c r="A2" t="s">
        <v>41</v>
      </c>
      <c r="B2" t="s">
        <v>42</v>
      </c>
      <c r="C2" t="s">
        <v>43</v>
      </c>
      <c r="D2" t="s">
        <v>44</v>
      </c>
      <c r="F2" t="s">
        <v>41</v>
      </c>
      <c r="G2" t="s">
        <v>42</v>
      </c>
      <c r="H2" t="s">
        <v>43</v>
      </c>
      <c r="I2" t="s">
        <v>44</v>
      </c>
      <c r="J2" t="s">
        <v>54</v>
      </c>
      <c r="K2" t="s">
        <v>93</v>
      </c>
      <c r="L2" t="s">
        <v>92</v>
      </c>
      <c r="N2" s="102" t="s">
        <v>254</v>
      </c>
      <c r="O2" s="102"/>
      <c r="P2" s="102"/>
      <c r="Q2" s="102"/>
      <c r="R2" s="76" t="s">
        <v>239</v>
      </c>
      <c r="S2" s="28"/>
      <c r="T2" s="28"/>
      <c r="U2" s="102" t="s">
        <v>254</v>
      </c>
      <c r="V2" s="102"/>
      <c r="W2" s="102"/>
      <c r="X2" s="102"/>
      <c r="Y2" s="76" t="s">
        <v>239</v>
      </c>
      <c r="Z2" s="29" t="s">
        <v>247</v>
      </c>
      <c r="AA2" s="29" t="s">
        <v>248</v>
      </c>
      <c r="AB2" s="29" t="s">
        <v>249</v>
      </c>
      <c r="AC2" s="29" t="s">
        <v>250</v>
      </c>
      <c r="AD2" s="29" t="s">
        <v>251</v>
      </c>
      <c r="AE2" s="65" t="s">
        <v>252</v>
      </c>
      <c r="AF2" s="77" t="s">
        <v>253</v>
      </c>
    </row>
    <row r="3" spans="1:32" ht="11.25" customHeight="1" x14ac:dyDescent="0.35">
      <c r="A3" t="s">
        <v>45</v>
      </c>
      <c r="B3">
        <v>19.13</v>
      </c>
      <c r="C3">
        <v>18.03</v>
      </c>
      <c r="D3">
        <v>29.8</v>
      </c>
      <c r="F3" t="s">
        <v>45</v>
      </c>
      <c r="G3">
        <f>Table45[[#This Row],[U1]]</f>
        <v>19.13</v>
      </c>
      <c r="H3">
        <f>Table45[[#This Row],[U2]]</f>
        <v>18.03</v>
      </c>
      <c r="I3">
        <f>Table45[[#This Row],[U3]]</f>
        <v>29.8</v>
      </c>
      <c r="J3">
        <f>SUM(Table46[[#This Row],[U1]:[U3]])</f>
        <v>66.959999999999994</v>
      </c>
      <c r="K3">
        <f>AVERAGE(Table46[[#This Row],[U1]:[U3]])</f>
        <v>22.319999999999997</v>
      </c>
      <c r="L3" s="3">
        <f>_xlfn.STDEV.P(Table46[[#This Row],[U1]:[U3]])</f>
        <v>5.3081886427167211</v>
      </c>
      <c r="N3" s="103" t="s">
        <v>69</v>
      </c>
      <c r="O3" s="92">
        <v>19.13</v>
      </c>
      <c r="P3" s="92">
        <v>18.03</v>
      </c>
      <c r="Q3" s="92">
        <v>29.8</v>
      </c>
      <c r="R3" s="106">
        <f>SUM(O3:Q5)</f>
        <v>176.44</v>
      </c>
      <c r="S3" s="106">
        <f>AVERAGE(O3:Q5)</f>
        <v>19.604444444444443</v>
      </c>
      <c r="T3" s="62"/>
      <c r="U3" s="103" t="s">
        <v>232</v>
      </c>
      <c r="V3" s="64">
        <f>O3^2</f>
        <v>365.95689999999996</v>
      </c>
      <c r="W3" s="64">
        <f t="shared" ref="W3:X20" si="0">P3^2</f>
        <v>325.08090000000004</v>
      </c>
      <c r="X3" s="64">
        <f t="shared" si="0"/>
        <v>888.04000000000008</v>
      </c>
      <c r="Y3" s="106">
        <f>SUM(V3:X5)</f>
        <v>3588.0528000000004</v>
      </c>
      <c r="Z3" s="106">
        <f>Y3*9</f>
        <v>32292.475200000004</v>
      </c>
      <c r="AA3" s="106">
        <f>R3^2</f>
        <v>31131.0736</v>
      </c>
      <c r="AB3" s="106">
        <f>Z3-AA3</f>
        <v>1161.4016000000047</v>
      </c>
      <c r="AC3" s="106">
        <f>AB3/8</f>
        <v>145.17520000000059</v>
      </c>
      <c r="AD3" s="106">
        <f>SQRT(AC3)</f>
        <v>12.048867166667602</v>
      </c>
      <c r="AE3" s="106">
        <f>(1/9)*AD3</f>
        <v>1.3387630185186223</v>
      </c>
      <c r="AF3" s="109">
        <f>AE3/S3</f>
        <v>6.8288750661231024E-2</v>
      </c>
    </row>
    <row r="4" spans="1:32" x14ac:dyDescent="0.35">
      <c r="A4" t="s">
        <v>46</v>
      </c>
      <c r="B4">
        <v>27.06</v>
      </c>
      <c r="C4">
        <v>16.670000000000002</v>
      </c>
      <c r="D4">
        <v>27.8</v>
      </c>
      <c r="F4" t="s">
        <v>46</v>
      </c>
      <c r="G4">
        <f>Table45[[#This Row],[U1]]</f>
        <v>27.06</v>
      </c>
      <c r="H4">
        <f>Table45[[#This Row],[U2]]</f>
        <v>16.670000000000002</v>
      </c>
      <c r="I4">
        <f>Table45[[#This Row],[U3]]</f>
        <v>27.8</v>
      </c>
      <c r="J4">
        <f>SUM(Table46[[#This Row],[U1]:[U3]])</f>
        <v>71.53</v>
      </c>
      <c r="K4" s="2">
        <f>AVERAGE(Table46[[#This Row],[U1]:[U3]])</f>
        <v>23.843333333333334</v>
      </c>
      <c r="L4" s="3">
        <f>_xlfn.STDEV.P(Table46[[#This Row],[U1]:[U3]])</f>
        <v>5.0813012331707101</v>
      </c>
      <c r="N4" s="104"/>
      <c r="O4" s="92">
        <v>18.32</v>
      </c>
      <c r="P4" s="92">
        <v>16.82</v>
      </c>
      <c r="Q4" s="92">
        <v>16.53</v>
      </c>
      <c r="R4" s="107"/>
      <c r="S4" s="107"/>
      <c r="T4" s="62"/>
      <c r="U4" s="104"/>
      <c r="V4" s="28">
        <f t="shared" ref="V4:V20" si="1">O4^2</f>
        <v>335.62240000000003</v>
      </c>
      <c r="W4" s="28">
        <f t="shared" si="0"/>
        <v>282.91239999999999</v>
      </c>
      <c r="X4" s="28">
        <f t="shared" si="0"/>
        <v>273.24090000000001</v>
      </c>
      <c r="Y4" s="107"/>
      <c r="Z4" s="107"/>
      <c r="AA4" s="107"/>
      <c r="AB4" s="107"/>
      <c r="AC4" s="107"/>
      <c r="AD4" s="107"/>
      <c r="AE4" s="107"/>
      <c r="AF4" s="110"/>
    </row>
    <row r="5" spans="1:32" x14ac:dyDescent="0.35">
      <c r="A5" t="s">
        <v>47</v>
      </c>
      <c r="B5">
        <v>27.06</v>
      </c>
      <c r="C5">
        <v>30.36</v>
      </c>
      <c r="D5">
        <v>18.79</v>
      </c>
      <c r="F5" t="s">
        <v>47</v>
      </c>
      <c r="G5">
        <f>Table45[[#This Row],[U1]]</f>
        <v>27.06</v>
      </c>
      <c r="H5">
        <f>Table45[[#This Row],[U2]]</f>
        <v>30.36</v>
      </c>
      <c r="I5">
        <f>Table45[[#This Row],[U3]]</f>
        <v>18.79</v>
      </c>
      <c r="J5">
        <f>SUM(Table46[[#This Row],[U1]:[U3]])</f>
        <v>76.210000000000008</v>
      </c>
      <c r="K5" s="2">
        <f>AVERAGE(Table46[[#This Row],[U1]:[U3]])</f>
        <v>25.403333333333336</v>
      </c>
      <c r="L5" s="3">
        <f>_xlfn.STDEV.P(Table46[[#This Row],[U1]:[U3]])</f>
        <v>4.8665273952674672</v>
      </c>
      <c r="N5" s="105"/>
      <c r="O5" s="92">
        <v>18</v>
      </c>
      <c r="P5" s="92">
        <v>20.53</v>
      </c>
      <c r="Q5" s="92">
        <v>19.28</v>
      </c>
      <c r="R5" s="108"/>
      <c r="S5" s="108"/>
      <c r="T5" s="62"/>
      <c r="U5" s="105"/>
      <c r="V5" s="63">
        <f t="shared" si="1"/>
        <v>324</v>
      </c>
      <c r="W5" s="63">
        <f t="shared" si="0"/>
        <v>421.48090000000002</v>
      </c>
      <c r="X5" s="63">
        <f t="shared" si="0"/>
        <v>371.71840000000003</v>
      </c>
      <c r="Y5" s="108"/>
      <c r="Z5" s="108"/>
      <c r="AA5" s="108"/>
      <c r="AB5" s="108"/>
      <c r="AC5" s="108"/>
      <c r="AD5" s="108"/>
      <c r="AE5" s="108"/>
      <c r="AF5" s="111"/>
    </row>
    <row r="6" spans="1:32" x14ac:dyDescent="0.35">
      <c r="A6" t="s">
        <v>48</v>
      </c>
      <c r="B6">
        <v>18.32</v>
      </c>
      <c r="C6">
        <v>16.82</v>
      </c>
      <c r="D6">
        <v>16.53</v>
      </c>
      <c r="F6" t="s">
        <v>48</v>
      </c>
      <c r="G6">
        <f>Table45[[#This Row],[U1]]</f>
        <v>18.32</v>
      </c>
      <c r="H6">
        <f>Table45[[#This Row],[U2]]</f>
        <v>16.82</v>
      </c>
      <c r="I6">
        <f>Table45[[#This Row],[U3]]</f>
        <v>16.53</v>
      </c>
      <c r="J6">
        <f>SUM(Table46[[#This Row],[U1]:[U3]])</f>
        <v>51.67</v>
      </c>
      <c r="K6" s="2">
        <f>AVERAGE(Table46[[#This Row],[U1]:[U3]])</f>
        <v>17.223333333333333</v>
      </c>
      <c r="L6" s="3">
        <f>_xlfn.STDEV.P(Table46[[#This Row],[U1]:[U3]])</f>
        <v>0.78444601825463756</v>
      </c>
      <c r="N6" s="104" t="s">
        <v>70</v>
      </c>
      <c r="O6" s="92">
        <v>27.06</v>
      </c>
      <c r="P6" s="92">
        <v>16.670000000000002</v>
      </c>
      <c r="Q6" s="92">
        <v>27.8</v>
      </c>
      <c r="R6" s="106">
        <f>SUM(O6:Q8)</f>
        <v>218.43000000000004</v>
      </c>
      <c r="S6" s="106">
        <f>AVERAGE(O6:Q8)</f>
        <v>24.270000000000003</v>
      </c>
      <c r="T6" s="62"/>
      <c r="U6" s="104" t="s">
        <v>233</v>
      </c>
      <c r="V6" s="64">
        <f t="shared" si="1"/>
        <v>732.2435999999999</v>
      </c>
      <c r="W6" s="64">
        <f t="shared" si="0"/>
        <v>277.88890000000004</v>
      </c>
      <c r="X6" s="64">
        <f t="shared" si="0"/>
        <v>772.84</v>
      </c>
      <c r="Y6" s="106">
        <f>SUM(V6:X8)</f>
        <v>5463.4965000000002</v>
      </c>
      <c r="Z6" s="106">
        <f t="shared" ref="Z6" si="2">Y6*9</f>
        <v>49171.468500000003</v>
      </c>
      <c r="AA6" s="106">
        <f>R6^2</f>
        <v>47711.664900000018</v>
      </c>
      <c r="AB6" s="106">
        <f t="shared" ref="AB6" si="3">Z6-AA6</f>
        <v>1459.8035999999847</v>
      </c>
      <c r="AC6" s="106">
        <f t="shared" ref="AC6" si="4">AB6/8</f>
        <v>182.47544999999809</v>
      </c>
      <c r="AD6" s="106">
        <f t="shared" ref="AD6" si="5">SQRT(AC6)</f>
        <v>13.50834741928109</v>
      </c>
      <c r="AE6" s="106">
        <f t="shared" ref="AE6" si="6">(1/9)*AD6</f>
        <v>1.5009274910312322</v>
      </c>
      <c r="AF6" s="109">
        <f>AE6/S6</f>
        <v>6.184291269185134E-2</v>
      </c>
    </row>
    <row r="7" spans="1:32" x14ac:dyDescent="0.35">
      <c r="A7" t="s">
        <v>49</v>
      </c>
      <c r="B7">
        <v>26.95</v>
      </c>
      <c r="C7">
        <v>27.35</v>
      </c>
      <c r="D7">
        <v>29.47</v>
      </c>
      <c r="F7" t="s">
        <v>49</v>
      </c>
      <c r="G7">
        <f>Table45[[#This Row],[U1]]</f>
        <v>26.95</v>
      </c>
      <c r="H7">
        <f>Table45[[#This Row],[U2]]</f>
        <v>27.35</v>
      </c>
      <c r="I7">
        <f>Table45[[#This Row],[U3]]</f>
        <v>29.47</v>
      </c>
      <c r="J7">
        <f>SUM(Table46[[#This Row],[U1]:[U3]])</f>
        <v>83.77</v>
      </c>
      <c r="K7" s="2">
        <f>AVERAGE(Table46[[#This Row],[U1]:[U3]])</f>
        <v>27.923333333333332</v>
      </c>
      <c r="L7" s="3">
        <f>_xlfn.STDEV.P(Table46[[#This Row],[U1]:[U3]])</f>
        <v>1.1057827795528172</v>
      </c>
      <c r="N7" s="104"/>
      <c r="O7" s="92">
        <v>26.95</v>
      </c>
      <c r="P7" s="92">
        <v>27.35</v>
      </c>
      <c r="Q7" s="92">
        <v>29.47</v>
      </c>
      <c r="R7" s="107"/>
      <c r="S7" s="107"/>
      <c r="T7" s="62"/>
      <c r="U7" s="104"/>
      <c r="V7" s="28">
        <f t="shared" si="1"/>
        <v>726.30250000000001</v>
      </c>
      <c r="W7" s="28">
        <f t="shared" si="0"/>
        <v>748.02250000000004</v>
      </c>
      <c r="X7" s="28">
        <f t="shared" si="0"/>
        <v>868.48089999999991</v>
      </c>
      <c r="Y7" s="107"/>
      <c r="Z7" s="107"/>
      <c r="AA7" s="107"/>
      <c r="AB7" s="107"/>
      <c r="AC7" s="107"/>
      <c r="AD7" s="107"/>
      <c r="AE7" s="107"/>
      <c r="AF7" s="110"/>
    </row>
    <row r="8" spans="1:32" x14ac:dyDescent="0.35">
      <c r="A8" t="s">
        <v>50</v>
      </c>
      <c r="B8">
        <v>23.37</v>
      </c>
      <c r="C8">
        <v>26.8</v>
      </c>
      <c r="D8">
        <v>20.5</v>
      </c>
      <c r="F8" t="s">
        <v>50</v>
      </c>
      <c r="G8">
        <f>Table45[[#This Row],[U1]]</f>
        <v>23.37</v>
      </c>
      <c r="H8">
        <f>Table45[[#This Row],[U2]]</f>
        <v>26.8</v>
      </c>
      <c r="I8">
        <f>Table45[[#This Row],[U3]]</f>
        <v>20.5</v>
      </c>
      <c r="J8">
        <f>SUM(Table46[[#This Row],[U1]:[U3]])</f>
        <v>70.67</v>
      </c>
      <c r="K8" s="2">
        <f>AVERAGE(Table46[[#This Row],[U1]:[U3]])</f>
        <v>23.556666666666668</v>
      </c>
      <c r="L8" s="3">
        <f>_xlfn.STDEV.P(Table46[[#This Row],[U1]:[U3]])</f>
        <v>2.5753489515446795</v>
      </c>
      <c r="N8" s="105"/>
      <c r="O8" s="92">
        <v>20.86</v>
      </c>
      <c r="P8" s="92">
        <v>18.989999999999998</v>
      </c>
      <c r="Q8" s="92">
        <v>23.28</v>
      </c>
      <c r="R8" s="108"/>
      <c r="S8" s="108"/>
      <c r="T8" s="62"/>
      <c r="U8" s="105"/>
      <c r="V8" s="63">
        <f t="shared" si="1"/>
        <v>435.13959999999997</v>
      </c>
      <c r="W8" s="63">
        <f t="shared" si="0"/>
        <v>360.62009999999992</v>
      </c>
      <c r="X8" s="63">
        <f t="shared" si="0"/>
        <v>541.9584000000001</v>
      </c>
      <c r="Y8" s="108"/>
      <c r="Z8" s="108"/>
      <c r="AA8" s="108"/>
      <c r="AB8" s="108"/>
      <c r="AC8" s="108"/>
      <c r="AD8" s="108"/>
      <c r="AE8" s="108"/>
      <c r="AF8" s="111"/>
    </row>
    <row r="9" spans="1:32" x14ac:dyDescent="0.35">
      <c r="A9" t="s">
        <v>51</v>
      </c>
      <c r="B9">
        <v>18</v>
      </c>
      <c r="C9">
        <v>20.53</v>
      </c>
      <c r="D9">
        <v>19.28</v>
      </c>
      <c r="F9" t="s">
        <v>51</v>
      </c>
      <c r="G9">
        <f>Table45[[#This Row],[U1]]</f>
        <v>18</v>
      </c>
      <c r="H9">
        <f>Table45[[#This Row],[U2]]</f>
        <v>20.53</v>
      </c>
      <c r="I9">
        <f>Table45[[#This Row],[U3]]</f>
        <v>19.28</v>
      </c>
      <c r="J9">
        <f>SUM(Table46[[#This Row],[U1]:[U3]])</f>
        <v>57.81</v>
      </c>
      <c r="K9">
        <f>AVERAGE(Table46[[#This Row],[U1]:[U3]])</f>
        <v>19.27</v>
      </c>
      <c r="L9" s="3">
        <f>_xlfn.STDEV.P(Table46[[#This Row],[U1]:[U3]])</f>
        <v>1.0328923790340732</v>
      </c>
      <c r="N9" s="104" t="s">
        <v>71</v>
      </c>
      <c r="O9" s="92">
        <v>27.06</v>
      </c>
      <c r="P9" s="92">
        <v>30.36</v>
      </c>
      <c r="Q9" s="92">
        <v>18.79</v>
      </c>
      <c r="R9" s="106">
        <f>SUM(O9:Q11)</f>
        <v>238.98</v>
      </c>
      <c r="S9" s="106">
        <f>AVERAGE(O9:Q11)</f>
        <v>26.553333333333331</v>
      </c>
      <c r="T9" s="62"/>
      <c r="U9" s="104" t="s">
        <v>234</v>
      </c>
      <c r="V9" s="64">
        <f t="shared" si="1"/>
        <v>732.2435999999999</v>
      </c>
      <c r="W9" s="64">
        <f t="shared" si="0"/>
        <v>921.7296</v>
      </c>
      <c r="X9" s="64">
        <f t="shared" si="0"/>
        <v>353.0641</v>
      </c>
      <c r="Y9" s="106">
        <f>SUM(V9:X11)</f>
        <v>6591.3116</v>
      </c>
      <c r="Z9" s="106">
        <f t="shared" ref="Z9" si="7">Y9*9</f>
        <v>59321.804400000001</v>
      </c>
      <c r="AA9" s="106">
        <f>R9^2</f>
        <v>57111.440399999992</v>
      </c>
      <c r="AB9" s="106">
        <f t="shared" ref="AB9" si="8">Z9-AA9</f>
        <v>2210.3640000000087</v>
      </c>
      <c r="AC9" s="106">
        <f t="shared" ref="AC9" si="9">AB9/8</f>
        <v>276.29550000000108</v>
      </c>
      <c r="AD9" s="106">
        <f t="shared" ref="AD9" si="10">SQRT(AC9)</f>
        <v>16.622138851543777</v>
      </c>
      <c r="AE9" s="106">
        <f t="shared" ref="AE9" si="11">(1/9)*AD9</f>
        <v>1.8469043168381973</v>
      </c>
      <c r="AF9" s="109">
        <f>AE9/S9</f>
        <v>6.9554518585420444E-2</v>
      </c>
    </row>
    <row r="10" spans="1:32" x14ac:dyDescent="0.35">
      <c r="A10" t="s">
        <v>52</v>
      </c>
      <c r="B10">
        <v>20.86</v>
      </c>
      <c r="C10">
        <v>18.989999999999998</v>
      </c>
      <c r="D10">
        <v>23.28</v>
      </c>
      <c r="F10" t="s">
        <v>52</v>
      </c>
      <c r="G10">
        <f>Table45[[#This Row],[U1]]</f>
        <v>20.86</v>
      </c>
      <c r="H10">
        <f>Table45[[#This Row],[U2]]</f>
        <v>18.989999999999998</v>
      </c>
      <c r="I10">
        <f>Table45[[#This Row],[U3]]</f>
        <v>23.28</v>
      </c>
      <c r="J10">
        <f>SUM(Table46[[#This Row],[U1]:[U3]])</f>
        <v>63.129999999999995</v>
      </c>
      <c r="K10" s="2">
        <f>AVERAGE(Table46[[#This Row],[U1]:[U3]])</f>
        <v>21.043333333333333</v>
      </c>
      <c r="L10" s="3">
        <f>_xlfn.STDEV.P(Table46[[#This Row],[U1]:[U3]])</f>
        <v>1.7561764021747814</v>
      </c>
      <c r="N10" s="104"/>
      <c r="O10" s="92">
        <v>23.37</v>
      </c>
      <c r="P10" s="92">
        <v>26.8</v>
      </c>
      <c r="Q10" s="92">
        <v>20.5</v>
      </c>
      <c r="R10" s="107"/>
      <c r="S10" s="107"/>
      <c r="T10" s="62"/>
      <c r="U10" s="104"/>
      <c r="V10" s="28">
        <f t="shared" si="1"/>
        <v>546.15690000000006</v>
      </c>
      <c r="W10" s="28">
        <f t="shared" si="0"/>
        <v>718.24</v>
      </c>
      <c r="X10" s="28">
        <f t="shared" si="0"/>
        <v>420.25</v>
      </c>
      <c r="Y10" s="107"/>
      <c r="Z10" s="107"/>
      <c r="AA10" s="107"/>
      <c r="AB10" s="107"/>
      <c r="AC10" s="107"/>
      <c r="AD10" s="107"/>
      <c r="AE10" s="107"/>
      <c r="AF10" s="110"/>
    </row>
    <row r="11" spans="1:32" x14ac:dyDescent="0.35">
      <c r="A11" t="s">
        <v>53</v>
      </c>
      <c r="B11">
        <v>35.97</v>
      </c>
      <c r="C11">
        <v>24.16</v>
      </c>
      <c r="D11">
        <v>31.97</v>
      </c>
      <c r="F11" t="s">
        <v>53</v>
      </c>
      <c r="G11">
        <f>Table45[[#This Row],[U1]]</f>
        <v>35.97</v>
      </c>
      <c r="H11">
        <f>Table45[[#This Row],[U2]]</f>
        <v>24.16</v>
      </c>
      <c r="I11">
        <f>Table45[[#This Row],[U3]]</f>
        <v>31.97</v>
      </c>
      <c r="J11">
        <f>SUM(Table46[[#This Row],[U1]:[U3]])</f>
        <v>92.1</v>
      </c>
      <c r="K11">
        <f>AVERAGE(Table46[[#This Row],[U1]:[U3]])</f>
        <v>30.7</v>
      </c>
      <c r="L11" s="3">
        <f>_xlfn.STDEV.P(Table46[[#This Row],[U1]:[U3]])</f>
        <v>4.9043314189262013</v>
      </c>
      <c r="N11" s="105"/>
      <c r="O11" s="92">
        <v>35.97</v>
      </c>
      <c r="P11" s="92">
        <v>24.16</v>
      </c>
      <c r="Q11" s="92">
        <v>31.97</v>
      </c>
      <c r="R11" s="108"/>
      <c r="S11" s="108"/>
      <c r="T11" s="62"/>
      <c r="U11" s="105"/>
      <c r="V11" s="63">
        <f t="shared" si="1"/>
        <v>1293.8408999999999</v>
      </c>
      <c r="W11" s="63">
        <f t="shared" si="0"/>
        <v>583.7056</v>
      </c>
      <c r="X11" s="63">
        <f t="shared" si="0"/>
        <v>1022.0808999999999</v>
      </c>
      <c r="Y11" s="108"/>
      <c r="Z11" s="108"/>
      <c r="AA11" s="108"/>
      <c r="AB11" s="108"/>
      <c r="AC11" s="108"/>
      <c r="AD11" s="108"/>
      <c r="AE11" s="108"/>
      <c r="AF11" s="111"/>
    </row>
    <row r="12" spans="1:32" x14ac:dyDescent="0.35">
      <c r="F12" t="s">
        <v>54</v>
      </c>
      <c r="G12">
        <f>SUM(G3:G11)</f>
        <v>216.72</v>
      </c>
      <c r="H12">
        <f>SUM(H3:H11)</f>
        <v>199.71</v>
      </c>
      <c r="I12">
        <f>SUM(I3:I11)</f>
        <v>217.42</v>
      </c>
      <c r="J12">
        <f>SUM(J3:J11)</f>
        <v>633.85</v>
      </c>
      <c r="N12" s="104" t="s">
        <v>65</v>
      </c>
      <c r="O12">
        <v>19.13</v>
      </c>
      <c r="P12" s="28">
        <v>18.03</v>
      </c>
      <c r="Q12" s="28">
        <v>29.8</v>
      </c>
      <c r="R12" s="106">
        <f>SUM(O12:Q14)</f>
        <v>214.70000000000002</v>
      </c>
      <c r="S12" s="106">
        <f>AVERAGE(O12:Q14)</f>
        <v>23.855555555555558</v>
      </c>
      <c r="T12" s="62"/>
      <c r="U12" s="103" t="s">
        <v>236</v>
      </c>
      <c r="V12" s="64">
        <f t="shared" si="1"/>
        <v>365.95689999999996</v>
      </c>
      <c r="W12" s="64">
        <f t="shared" si="0"/>
        <v>325.08090000000004</v>
      </c>
      <c r="X12" s="64">
        <f t="shared" si="0"/>
        <v>888.04000000000008</v>
      </c>
      <c r="Y12" s="106">
        <f>SUM(V12:X14)</f>
        <v>5369.0875999999989</v>
      </c>
      <c r="Z12" s="106">
        <f t="shared" ref="Z12" si="12">Y12*9</f>
        <v>48321.78839999999</v>
      </c>
      <c r="AA12" s="106">
        <f>R12^2</f>
        <v>46096.090000000004</v>
      </c>
      <c r="AB12" s="106">
        <f t="shared" ref="AB12" si="13">Z12-AA12</f>
        <v>2225.6983999999866</v>
      </c>
      <c r="AC12" s="106">
        <f t="shared" ref="AC12" si="14">AB12/8</f>
        <v>278.21229999999832</v>
      </c>
      <c r="AD12" s="106">
        <f t="shared" ref="AD12" si="15">SQRT(AC12)</f>
        <v>16.679697239458463</v>
      </c>
      <c r="AE12" s="106">
        <f t="shared" ref="AE12" si="16">(1/9)*AD12</f>
        <v>1.8532996932731625</v>
      </c>
      <c r="AF12" s="109">
        <f>AE12/S12</f>
        <v>7.7688389564315147E-2</v>
      </c>
    </row>
    <row r="13" spans="1:32" x14ac:dyDescent="0.35">
      <c r="F13" t="s">
        <v>93</v>
      </c>
      <c r="G13">
        <f>AVERAGE(G3:G11)</f>
        <v>24.08</v>
      </c>
      <c r="H13">
        <f>AVERAGE(H3:H11)</f>
        <v>22.19</v>
      </c>
      <c r="I13" s="2">
        <f>AVERAGE(I3:I11)</f>
        <v>24.157777777777778</v>
      </c>
      <c r="N13" s="104"/>
      <c r="O13">
        <v>27.06</v>
      </c>
      <c r="P13" s="28">
        <v>16.670000000000002</v>
      </c>
      <c r="Q13" s="28">
        <v>27.8</v>
      </c>
      <c r="R13" s="107"/>
      <c r="S13" s="107"/>
      <c r="T13" s="62"/>
      <c r="U13" s="104"/>
      <c r="V13" s="28">
        <f t="shared" si="1"/>
        <v>732.2435999999999</v>
      </c>
      <c r="W13" s="28">
        <f t="shared" si="0"/>
        <v>277.88890000000004</v>
      </c>
      <c r="X13" s="28">
        <f t="shared" si="0"/>
        <v>772.84</v>
      </c>
      <c r="Y13" s="107"/>
      <c r="Z13" s="107"/>
      <c r="AA13" s="107"/>
      <c r="AB13" s="107"/>
      <c r="AC13" s="107"/>
      <c r="AD13" s="107"/>
      <c r="AE13" s="107"/>
      <c r="AF13" s="110"/>
    </row>
    <row r="14" spans="1:32" x14ac:dyDescent="0.35">
      <c r="N14" s="105"/>
      <c r="O14">
        <v>27.06</v>
      </c>
      <c r="P14" s="63">
        <v>30.36</v>
      </c>
      <c r="Q14" s="63">
        <v>18.79</v>
      </c>
      <c r="R14" s="108"/>
      <c r="S14" s="108"/>
      <c r="T14" s="62"/>
      <c r="U14" s="105"/>
      <c r="V14" s="63">
        <f t="shared" si="1"/>
        <v>732.2435999999999</v>
      </c>
      <c r="W14" s="63">
        <f t="shared" si="0"/>
        <v>921.7296</v>
      </c>
      <c r="X14" s="63">
        <f t="shared" si="0"/>
        <v>353.0641</v>
      </c>
      <c r="Y14" s="108"/>
      <c r="Z14" s="108"/>
      <c r="AA14" s="108"/>
      <c r="AB14" s="108"/>
      <c r="AC14" s="108"/>
      <c r="AD14" s="108"/>
      <c r="AE14" s="108"/>
      <c r="AF14" s="111"/>
    </row>
    <row r="15" spans="1:32" x14ac:dyDescent="0.35">
      <c r="F15" s="67" t="s">
        <v>58</v>
      </c>
      <c r="G15" s="68">
        <f>(J12^2)/(J15*J16)</f>
        <v>14880.215648148149</v>
      </c>
      <c r="I15" t="s">
        <v>63</v>
      </c>
      <c r="J15">
        <v>9</v>
      </c>
      <c r="K15" s="67" t="s">
        <v>245</v>
      </c>
      <c r="L15" s="69">
        <f>(SUMSQ(J23:J25)/(J15))-G15</f>
        <v>4.6136518518542289</v>
      </c>
      <c r="N15" s="104" t="s">
        <v>66</v>
      </c>
      <c r="O15" s="28">
        <v>18.32</v>
      </c>
      <c r="P15" s="28">
        <v>16.82</v>
      </c>
      <c r="Q15" s="28">
        <v>16.53</v>
      </c>
      <c r="R15" s="106">
        <f>SUM(O15:Q17)</f>
        <v>206.11</v>
      </c>
      <c r="S15" s="106">
        <f>AVERAGE(O15:Q17)</f>
        <v>22.901111111111113</v>
      </c>
      <c r="T15" s="62"/>
      <c r="U15" s="104" t="s">
        <v>237</v>
      </c>
      <c r="V15" s="64">
        <f t="shared" si="1"/>
        <v>335.62240000000003</v>
      </c>
      <c r="W15" s="64">
        <f t="shared" si="0"/>
        <v>282.91239999999999</v>
      </c>
      <c r="X15" s="64">
        <f t="shared" si="0"/>
        <v>273.24090000000001</v>
      </c>
      <c r="Y15" s="106">
        <f>SUM(V15:X17)</f>
        <v>4919.2285000000002</v>
      </c>
      <c r="Z15" s="106">
        <f t="shared" ref="Z15" si="17">Y15*9</f>
        <v>44273.056499999999</v>
      </c>
      <c r="AA15" s="106">
        <f>R15^2</f>
        <v>42481.332100000007</v>
      </c>
      <c r="AB15" s="106">
        <f t="shared" ref="AB15" si="18">Z15-AA15</f>
        <v>1791.7243999999919</v>
      </c>
      <c r="AC15" s="106">
        <f t="shared" ref="AC15" si="19">AB15/8</f>
        <v>223.96554999999898</v>
      </c>
      <c r="AD15" s="106">
        <f t="shared" ref="AD15" si="20">SQRT(AC15)</f>
        <v>14.965478609119021</v>
      </c>
      <c r="AE15" s="106">
        <f t="shared" ref="AE15" si="21">(1/9)*AD15</f>
        <v>1.66283095656878</v>
      </c>
      <c r="AF15" s="109">
        <f>AE15/S15</f>
        <v>7.2609182519620674E-2</v>
      </c>
    </row>
    <row r="16" spans="1:32" x14ac:dyDescent="0.35">
      <c r="F16" s="67" t="s">
        <v>59</v>
      </c>
      <c r="G16" s="31">
        <f>(SUMSQ(G3:I11))-G15</f>
        <v>762.64525185184721</v>
      </c>
      <c r="I16" t="s">
        <v>64</v>
      </c>
      <c r="J16">
        <v>3</v>
      </c>
      <c r="K16" s="67" t="s">
        <v>246</v>
      </c>
      <c r="L16" s="69">
        <f>(SUMSQ(G26:I26)/(J15))-G15</f>
        <v>225.80422962962803</v>
      </c>
      <c r="N16" s="104"/>
      <c r="O16" s="28">
        <v>26.95</v>
      </c>
      <c r="P16" s="28">
        <v>27.35</v>
      </c>
      <c r="Q16" s="28">
        <v>29.47</v>
      </c>
      <c r="R16" s="107"/>
      <c r="S16" s="107"/>
      <c r="T16" s="62"/>
      <c r="U16" s="104"/>
      <c r="V16" s="28">
        <f>O16^2</f>
        <v>726.30250000000001</v>
      </c>
      <c r="W16" s="28">
        <f t="shared" si="0"/>
        <v>748.02250000000004</v>
      </c>
      <c r="X16" s="28">
        <f t="shared" si="0"/>
        <v>868.48089999999991</v>
      </c>
      <c r="Y16" s="107"/>
      <c r="Z16" s="107"/>
      <c r="AA16" s="107"/>
      <c r="AB16" s="107"/>
      <c r="AC16" s="107"/>
      <c r="AD16" s="107"/>
      <c r="AE16" s="107"/>
      <c r="AF16" s="110"/>
    </row>
    <row r="17" spans="6:32" x14ac:dyDescent="0.35">
      <c r="F17" s="67" t="s">
        <v>60</v>
      </c>
      <c r="G17" s="31">
        <f>(SUMSQ(G12:I12)/J15)-G15</f>
        <v>22.350896296293286</v>
      </c>
      <c r="K17" s="67" t="s">
        <v>244</v>
      </c>
      <c r="L17" s="69">
        <f>G18-L16-L15</f>
        <v>189.16657037036748</v>
      </c>
      <c r="N17" s="105"/>
      <c r="O17" s="63">
        <v>23.37</v>
      </c>
      <c r="P17" s="63">
        <v>26.8</v>
      </c>
      <c r="Q17" s="63">
        <v>20.5</v>
      </c>
      <c r="R17" s="108"/>
      <c r="S17" s="108"/>
      <c r="T17" s="62"/>
      <c r="U17" s="105"/>
      <c r="V17" s="63">
        <f t="shared" si="1"/>
        <v>546.15690000000006</v>
      </c>
      <c r="W17" s="63">
        <f t="shared" si="0"/>
        <v>718.24</v>
      </c>
      <c r="X17" s="63">
        <f t="shared" si="0"/>
        <v>420.25</v>
      </c>
      <c r="Y17" s="108"/>
      <c r="Z17" s="108"/>
      <c r="AA17" s="108"/>
      <c r="AB17" s="108"/>
      <c r="AC17" s="108"/>
      <c r="AD17" s="108"/>
      <c r="AE17" s="108"/>
      <c r="AF17" s="111"/>
    </row>
    <row r="18" spans="6:32" x14ac:dyDescent="0.35">
      <c r="F18" s="67" t="s">
        <v>61</v>
      </c>
      <c r="G18" s="31">
        <f>(SUMSQ(J3:J11)/J16)-G15</f>
        <v>419.58445185184974</v>
      </c>
      <c r="N18" s="104" t="s">
        <v>67</v>
      </c>
      <c r="O18" s="28">
        <v>18</v>
      </c>
      <c r="P18" s="28">
        <v>20.53</v>
      </c>
      <c r="Q18" s="28">
        <v>19.28</v>
      </c>
      <c r="R18" s="106">
        <f>SUM(O18:Q20)</f>
        <v>213.04</v>
      </c>
      <c r="S18" s="106">
        <f>AVERAGE(O18:Q20)</f>
        <v>23.671111111111109</v>
      </c>
      <c r="T18" s="62"/>
      <c r="U18" s="104" t="s">
        <v>238</v>
      </c>
      <c r="V18" s="64">
        <f t="shared" si="1"/>
        <v>324</v>
      </c>
      <c r="W18" s="64">
        <f t="shared" si="0"/>
        <v>421.48090000000002</v>
      </c>
      <c r="X18" s="64">
        <f t="shared" si="0"/>
        <v>371.71840000000003</v>
      </c>
      <c r="Y18" s="106">
        <f>SUM(V18:X20)</f>
        <v>5354.5447999999997</v>
      </c>
      <c r="Z18" s="106">
        <f t="shared" ref="Z18" si="22">Y18*9</f>
        <v>48190.903200000001</v>
      </c>
      <c r="AA18" s="106">
        <f>R18^2</f>
        <v>45386.041599999997</v>
      </c>
      <c r="AB18" s="106">
        <f t="shared" ref="AB18" si="23">Z18-AA18</f>
        <v>2804.8616000000038</v>
      </c>
      <c r="AC18" s="106">
        <f t="shared" ref="AC18" si="24">AB18/8</f>
        <v>350.60770000000048</v>
      </c>
      <c r="AD18" s="106">
        <f t="shared" ref="AD18" si="25">SQRT(AC18)</f>
        <v>18.724521355698268</v>
      </c>
      <c r="AE18" s="106">
        <f t="shared" ref="AE18" si="26">(1/9)*AD18</f>
        <v>2.0805023728553631</v>
      </c>
      <c r="AF18" s="109">
        <f>AE18/S18</f>
        <v>8.7892045417284403E-2</v>
      </c>
    </row>
    <row r="19" spans="6:32" x14ac:dyDescent="0.35">
      <c r="F19" s="67" t="s">
        <v>62</v>
      </c>
      <c r="G19" s="31">
        <f>G16-G17-G18</f>
        <v>320.70990370370419</v>
      </c>
      <c r="N19" s="104"/>
      <c r="O19" s="28">
        <v>20.86</v>
      </c>
      <c r="P19" s="28">
        <v>18.989999999999998</v>
      </c>
      <c r="Q19" s="28">
        <v>23.28</v>
      </c>
      <c r="R19" s="107"/>
      <c r="S19" s="107"/>
      <c r="T19" s="62"/>
      <c r="U19" s="104"/>
      <c r="V19" s="28">
        <f t="shared" si="1"/>
        <v>435.13959999999997</v>
      </c>
      <c r="W19" s="28">
        <f t="shared" si="0"/>
        <v>360.62009999999992</v>
      </c>
      <c r="X19" s="28">
        <f t="shared" si="0"/>
        <v>541.9584000000001</v>
      </c>
      <c r="Y19" s="107"/>
      <c r="Z19" s="107"/>
      <c r="AA19" s="107"/>
      <c r="AB19" s="107"/>
      <c r="AC19" s="107"/>
      <c r="AD19" s="107"/>
      <c r="AE19" s="107"/>
      <c r="AF19" s="110"/>
    </row>
    <row r="20" spans="6:32" x14ac:dyDescent="0.35">
      <c r="N20" s="105"/>
      <c r="O20" s="63">
        <v>35.97</v>
      </c>
      <c r="P20" s="63">
        <v>24.16</v>
      </c>
      <c r="Q20" s="63">
        <v>31.97</v>
      </c>
      <c r="R20" s="108"/>
      <c r="S20" s="108"/>
      <c r="T20" s="62"/>
      <c r="U20" s="105"/>
      <c r="V20" s="63">
        <f t="shared" si="1"/>
        <v>1293.8408999999999</v>
      </c>
      <c r="W20" s="63">
        <f t="shared" si="0"/>
        <v>583.7056</v>
      </c>
      <c r="X20" s="63">
        <f t="shared" si="0"/>
        <v>1022.0808999999999</v>
      </c>
      <c r="Y20" s="108"/>
      <c r="Z20" s="108"/>
      <c r="AA20" s="108"/>
      <c r="AB20" s="108"/>
      <c r="AC20" s="108"/>
      <c r="AD20" s="108"/>
      <c r="AE20" s="108"/>
      <c r="AF20" s="111"/>
    </row>
    <row r="21" spans="6:32" x14ac:dyDescent="0.35">
      <c r="F21" t="s">
        <v>91</v>
      </c>
    </row>
    <row r="22" spans="6:32" x14ac:dyDescent="0.35">
      <c r="F22" t="s">
        <v>41</v>
      </c>
      <c r="G22" t="s">
        <v>69</v>
      </c>
      <c r="H22" t="s">
        <v>70</v>
      </c>
      <c r="I22" t="s">
        <v>71</v>
      </c>
      <c r="J22" t="s">
        <v>54</v>
      </c>
      <c r="K22" t="s">
        <v>93</v>
      </c>
    </row>
    <row r="23" spans="6:32" x14ac:dyDescent="0.35">
      <c r="F23" t="s">
        <v>65</v>
      </c>
      <c r="G23" s="3">
        <f>J3</f>
        <v>66.959999999999994</v>
      </c>
      <c r="H23" s="3">
        <f>J4</f>
        <v>71.53</v>
      </c>
      <c r="I23" s="3">
        <f>J5</f>
        <v>76.210000000000008</v>
      </c>
      <c r="J23" s="3">
        <f>SUM(Table195380849092[[#This Row],[S1]:[S3]])</f>
        <v>214.70000000000002</v>
      </c>
      <c r="K23" s="3">
        <f>Table195380849092[[#This Row],[Total]]/9</f>
        <v>23.855555555555558</v>
      </c>
    </row>
    <row r="24" spans="6:32" x14ac:dyDescent="0.35">
      <c r="F24" t="s">
        <v>66</v>
      </c>
      <c r="G24" s="3">
        <f>J6</f>
        <v>51.67</v>
      </c>
      <c r="H24" s="3">
        <f>J7</f>
        <v>83.77</v>
      </c>
      <c r="I24" s="3">
        <f>J8</f>
        <v>70.67</v>
      </c>
      <c r="J24" s="3">
        <f>SUM(Table195380849092[[#This Row],[S1]:[S3]])</f>
        <v>206.11</v>
      </c>
      <c r="K24" s="3">
        <f>Table195380849092[[#This Row],[Total]]/9</f>
        <v>22.901111111111113</v>
      </c>
    </row>
    <row r="25" spans="6:32" x14ac:dyDescent="0.35">
      <c r="F25" t="s">
        <v>67</v>
      </c>
      <c r="G25" s="3">
        <f>J9</f>
        <v>57.81</v>
      </c>
      <c r="H25" s="3">
        <f>J10</f>
        <v>63.129999999999995</v>
      </c>
      <c r="I25" s="3">
        <f>J11</f>
        <v>92.1</v>
      </c>
      <c r="J25" s="3">
        <f>SUM(Table195380849092[[#This Row],[S1]:[S3]])</f>
        <v>213.04</v>
      </c>
      <c r="K25" s="3">
        <f>Table195380849092[[#This Row],[Total]]/9</f>
        <v>23.671111111111109</v>
      </c>
    </row>
    <row r="26" spans="6:32" x14ac:dyDescent="0.35">
      <c r="F26" t="s">
        <v>54</v>
      </c>
      <c r="G26" s="3">
        <f>SUM(G23:G25)</f>
        <v>176.44</v>
      </c>
      <c r="H26" s="3">
        <f t="shared" ref="H26:I26" si="27">SUM(H23:H25)</f>
        <v>218.43</v>
      </c>
      <c r="I26" s="3">
        <f t="shared" si="27"/>
        <v>238.98</v>
      </c>
      <c r="J26" s="3">
        <f>SUM(J23:J25)</f>
        <v>633.85</v>
      </c>
      <c r="K26" s="3"/>
    </row>
    <row r="27" spans="6:32" x14ac:dyDescent="0.35">
      <c r="F27" t="s">
        <v>93</v>
      </c>
      <c r="G27" s="3">
        <f>G26/9</f>
        <v>19.604444444444443</v>
      </c>
      <c r="H27" s="3">
        <f t="shared" ref="H27:I27" si="28">H26/9</f>
        <v>24.27</v>
      </c>
      <c r="I27" s="3">
        <f t="shared" si="28"/>
        <v>26.553333333333331</v>
      </c>
      <c r="J27" s="3"/>
      <c r="K27" s="3"/>
    </row>
    <row r="28" spans="6:32" x14ac:dyDescent="0.35">
      <c r="F28" t="s">
        <v>73</v>
      </c>
    </row>
    <row r="29" spans="6:32" x14ac:dyDescent="0.35">
      <c r="F29" t="s">
        <v>74</v>
      </c>
      <c r="G29" t="s">
        <v>77</v>
      </c>
      <c r="H29" t="s">
        <v>78</v>
      </c>
      <c r="I29" t="s">
        <v>79</v>
      </c>
      <c r="J29" t="s">
        <v>80</v>
      </c>
      <c r="K29" t="s">
        <v>81</v>
      </c>
      <c r="L29" t="s">
        <v>82</v>
      </c>
      <c r="M29" t="s">
        <v>83</v>
      </c>
    </row>
    <row r="30" spans="6:32" x14ac:dyDescent="0.35">
      <c r="F30" s="72" t="s">
        <v>95</v>
      </c>
      <c r="G30" s="72">
        <v>2</v>
      </c>
      <c r="H30" s="73">
        <f>G17</f>
        <v>22.350896296293286</v>
      </c>
      <c r="I30" s="73">
        <f>Table442477838991[[#This Row],[J.K]]/Table442477838991[[#This Row],[d.b]]</f>
        <v>11.175448148146643</v>
      </c>
      <c r="J30" s="73">
        <f>I30/I35</f>
        <v>0.55753554319776089</v>
      </c>
      <c r="K30" s="73">
        <f t="shared" ref="K30:K31" si="29">FINV(0.05,G30,G35)</f>
        <v>3.6337234675916301</v>
      </c>
      <c r="L30" s="73">
        <f t="shared" ref="L30:L31" si="30">FINV(0.01,G30,G35)</f>
        <v>6.2262352803113821</v>
      </c>
      <c r="M30" s="72" t="str">
        <f t="shared" ref="M30:M34" si="31">IF(J30&lt;K30,"tidak berbeda nyata","berbeda nyata")</f>
        <v>tidak berbeda nyata</v>
      </c>
    </row>
    <row r="31" spans="6:32" x14ac:dyDescent="0.35">
      <c r="F31" s="82" t="s">
        <v>41</v>
      </c>
      <c r="G31" s="82">
        <v>8</v>
      </c>
      <c r="H31" s="83">
        <f>G18</f>
        <v>419.58445185184974</v>
      </c>
      <c r="I31" s="83">
        <f>Table442477838991[[#This Row],[J.K]]/Table442477838991[[#This Row],[d.b]]</f>
        <v>52.448056481481217</v>
      </c>
      <c r="J31" s="83">
        <f>I31/I35</f>
        <v>2.6165980345870032</v>
      </c>
      <c r="K31" s="83">
        <f t="shared" si="29"/>
        <v>2.3205272350337482</v>
      </c>
      <c r="L31" s="83">
        <f t="shared" si="30"/>
        <v>3.2883985212388325</v>
      </c>
      <c r="M31" s="82" t="str">
        <f t="shared" si="31"/>
        <v>berbeda nyata</v>
      </c>
    </row>
    <row r="32" spans="6:32" x14ac:dyDescent="0.35">
      <c r="F32" s="72" t="s">
        <v>76</v>
      </c>
      <c r="G32" s="72">
        <v>2</v>
      </c>
      <c r="H32" s="73">
        <f>L15</f>
        <v>4.6136518518542289</v>
      </c>
      <c r="I32" s="73">
        <f>Table442477838991[[#This Row],[J.K]]/Table442477838991[[#This Row],[d.b]]</f>
        <v>2.3068259259271144</v>
      </c>
      <c r="J32" s="73">
        <f>I32/I35</f>
        <v>0.11508598390192941</v>
      </c>
      <c r="K32" s="73">
        <f>FINV(0.05,G32,G35)</f>
        <v>3.6337234675916301</v>
      </c>
      <c r="L32" s="73">
        <f>FINV(0.01,G32,G35)</f>
        <v>6.2262352803113821</v>
      </c>
      <c r="M32" s="72" t="str">
        <f t="shared" si="31"/>
        <v>tidak berbeda nyata</v>
      </c>
    </row>
    <row r="33" spans="6:13" x14ac:dyDescent="0.35">
      <c r="F33" s="82" t="s">
        <v>239</v>
      </c>
      <c r="G33" s="82">
        <v>2</v>
      </c>
      <c r="H33" s="83">
        <f>L16</f>
        <v>225.80422962962803</v>
      </c>
      <c r="I33" s="83">
        <f>Table442477838991[[#This Row],[J.K]]/Table442477838991[[#This Row],[d.b]]</f>
        <v>112.90211481481401</v>
      </c>
      <c r="J33" s="83">
        <f>I33/I35</f>
        <v>5.6326100821193945</v>
      </c>
      <c r="K33" s="83">
        <f>FINV(0.05,G33,G35)</f>
        <v>3.6337234675916301</v>
      </c>
      <c r="L33" s="83">
        <f>FINV(0.01,G33,G35)</f>
        <v>6.2262352803113821</v>
      </c>
      <c r="M33" s="82" t="str">
        <f t="shared" si="31"/>
        <v>berbeda nyata</v>
      </c>
    </row>
    <row r="34" spans="6:13" x14ac:dyDescent="0.35">
      <c r="F34" s="70" t="s">
        <v>240</v>
      </c>
      <c r="G34" s="70">
        <v>4</v>
      </c>
      <c r="H34" s="71">
        <f>L17</f>
        <v>189.16657037036748</v>
      </c>
      <c r="I34" s="71">
        <f>Table442477838991[[#This Row],[J.K]]/Table442477838991[[#This Row],[d.b]]</f>
        <v>47.29164259259187</v>
      </c>
      <c r="J34" s="71">
        <f>I34/I35</f>
        <v>2.359348036163345</v>
      </c>
      <c r="K34" s="71">
        <f>FINV(0.05,G34,G35)</f>
        <v>3.0069172799243447</v>
      </c>
      <c r="L34" s="71">
        <f>FINV(0.01,G34,G35)</f>
        <v>4.772577999723211</v>
      </c>
      <c r="M34" s="70" t="str">
        <f t="shared" si="31"/>
        <v>tidak berbeda nyata</v>
      </c>
    </row>
    <row r="35" spans="6:13" x14ac:dyDescent="0.35">
      <c r="F35" t="s">
        <v>96</v>
      </c>
      <c r="G35">
        <v>16</v>
      </c>
      <c r="H35" s="3">
        <f>G19</f>
        <v>320.70990370370419</v>
      </c>
      <c r="I35" s="3">
        <f>Table442477838991[[#This Row],[J.K]]/Table442477838991[[#This Row],[d.b]]</f>
        <v>20.044368981481512</v>
      </c>
      <c r="J35" s="3"/>
      <c r="K35" s="3"/>
      <c r="L35" s="3"/>
    </row>
    <row r="36" spans="6:13" x14ac:dyDescent="0.35">
      <c r="F36" t="s">
        <v>54</v>
      </c>
      <c r="G36">
        <v>26</v>
      </c>
      <c r="H36" s="3">
        <f>G16</f>
        <v>762.64525185184721</v>
      </c>
      <c r="I36" s="3">
        <f>Table442477838991[[#This Row],[J.K]]/Table442477838991[[#This Row],[d.b]]</f>
        <v>29.332509686609509</v>
      </c>
      <c r="J36" s="3"/>
      <c r="K36" s="3"/>
      <c r="L36" s="3"/>
    </row>
    <row r="37" spans="6:13" x14ac:dyDescent="0.35">
      <c r="F37" s="38"/>
      <c r="G37" s="38"/>
      <c r="H37" s="38"/>
      <c r="I37" s="38"/>
      <c r="J37" s="37"/>
      <c r="K37" s="37"/>
    </row>
    <row r="38" spans="6:13" x14ac:dyDescent="0.35">
      <c r="F38" s="101" t="s">
        <v>242</v>
      </c>
      <c r="G38" s="101"/>
      <c r="H38" s="33"/>
      <c r="I38" s="38" t="s">
        <v>41</v>
      </c>
      <c r="J38" s="38" t="s">
        <v>68</v>
      </c>
      <c r="K38" s="38" t="s">
        <v>86</v>
      </c>
      <c r="L38" s="38"/>
    </row>
    <row r="39" spans="6:13" x14ac:dyDescent="0.35">
      <c r="F39" s="34" t="s">
        <v>229</v>
      </c>
      <c r="G39" s="35">
        <f>SQRT(I35/J15)</f>
        <v>1.4923646032566911</v>
      </c>
      <c r="H39" s="33"/>
      <c r="I39" s="39" t="s">
        <v>69</v>
      </c>
      <c r="J39" s="49">
        <f>G27</f>
        <v>19.604444444444443</v>
      </c>
      <c r="K39" s="40" t="s">
        <v>87</v>
      </c>
      <c r="L39" s="49">
        <f>J39+$G$41</f>
        <v>25.051575246331367</v>
      </c>
    </row>
    <row r="40" spans="6:13" x14ac:dyDescent="0.35">
      <c r="F40" s="34" t="s">
        <v>230</v>
      </c>
      <c r="G40" s="36">
        <v>3.65</v>
      </c>
      <c r="H40" s="33"/>
      <c r="I40" s="39" t="s">
        <v>70</v>
      </c>
      <c r="J40" s="49">
        <f>H27</f>
        <v>24.27</v>
      </c>
      <c r="K40" s="40" t="s">
        <v>87</v>
      </c>
      <c r="L40" s="49"/>
    </row>
    <row r="41" spans="6:13" x14ac:dyDescent="0.35">
      <c r="F41" s="34" t="s">
        <v>231</v>
      </c>
      <c r="G41" s="35">
        <f>G39*G40</f>
        <v>5.4471308018869227</v>
      </c>
      <c r="H41" s="33"/>
      <c r="I41" s="39" t="s">
        <v>71</v>
      </c>
      <c r="J41" s="49">
        <f>I27</f>
        <v>26.553333333333331</v>
      </c>
      <c r="K41" s="40" t="s">
        <v>88</v>
      </c>
      <c r="L41" s="49"/>
    </row>
    <row r="42" spans="6:13" x14ac:dyDescent="0.35">
      <c r="F42" s="37"/>
      <c r="G42" s="37"/>
      <c r="H42" s="37"/>
      <c r="I42" s="41" t="s">
        <v>235</v>
      </c>
      <c r="J42" s="55">
        <f>G41</f>
        <v>5.4471308018869227</v>
      </c>
      <c r="K42" s="42"/>
      <c r="L42" s="50"/>
    </row>
    <row r="43" spans="6:13" x14ac:dyDescent="0.35">
      <c r="I43" s="43" t="s">
        <v>65</v>
      </c>
      <c r="J43" s="49">
        <f>K23</f>
        <v>23.855555555555558</v>
      </c>
      <c r="K43" s="40" t="s">
        <v>87</v>
      </c>
      <c r="L43" s="49">
        <f>J43+$G$41</f>
        <v>29.302686357442482</v>
      </c>
    </row>
    <row r="44" spans="6:13" x14ac:dyDescent="0.35">
      <c r="I44" s="43" t="s">
        <v>66</v>
      </c>
      <c r="J44" s="49">
        <f>K24</f>
        <v>22.901111111111113</v>
      </c>
      <c r="K44" s="40" t="s">
        <v>87</v>
      </c>
      <c r="L44" s="49"/>
    </row>
    <row r="45" spans="6:13" x14ac:dyDescent="0.35">
      <c r="I45" s="43" t="s">
        <v>67</v>
      </c>
      <c r="J45" s="49">
        <f>K25</f>
        <v>23.671111111111109</v>
      </c>
      <c r="K45" s="40" t="s">
        <v>87</v>
      </c>
      <c r="L45" s="49"/>
    </row>
    <row r="46" spans="6:13" x14ac:dyDescent="0.35">
      <c r="I46" s="41" t="s">
        <v>235</v>
      </c>
      <c r="J46" s="50" t="s">
        <v>84</v>
      </c>
      <c r="K46" s="42"/>
      <c r="L46" s="42"/>
    </row>
    <row r="53" spans="8:8" x14ac:dyDescent="0.35">
      <c r="H53" s="2"/>
    </row>
    <row r="54" spans="8:8" x14ac:dyDescent="0.35">
      <c r="H54" s="2"/>
    </row>
    <row r="55" spans="8:8" x14ac:dyDescent="0.35">
      <c r="H55" s="2"/>
    </row>
    <row r="56" spans="8:8" x14ac:dyDescent="0.35">
      <c r="H56" s="2"/>
    </row>
    <row r="57" spans="8:8" x14ac:dyDescent="0.35">
      <c r="H57" s="2"/>
    </row>
    <row r="58" spans="8:8" x14ac:dyDescent="0.35">
      <c r="H58" s="2"/>
    </row>
    <row r="59" spans="8:8" x14ac:dyDescent="0.35">
      <c r="H59" s="2"/>
    </row>
    <row r="60" spans="8:8" x14ac:dyDescent="0.35">
      <c r="H60" s="2"/>
    </row>
    <row r="61" spans="8:8" x14ac:dyDescent="0.35">
      <c r="H61" s="2"/>
    </row>
  </sheetData>
  <sortState xmlns:xlrd2="http://schemas.microsoft.com/office/spreadsheetml/2017/richdata2" ref="N22:T27">
    <sortCondition ref="N22:N27"/>
  </sortState>
  <mergeCells count="75">
    <mergeCell ref="AE15:AE17"/>
    <mergeCell ref="AF15:AF17"/>
    <mergeCell ref="Z18:Z20"/>
    <mergeCell ref="AA18:AA20"/>
    <mergeCell ref="AB18:AB20"/>
    <mergeCell ref="AC18:AC20"/>
    <mergeCell ref="AD18:AD20"/>
    <mergeCell ref="AE18:AE20"/>
    <mergeCell ref="AF18:AF20"/>
    <mergeCell ref="Z15:Z17"/>
    <mergeCell ref="AA15:AA17"/>
    <mergeCell ref="AB15:AB17"/>
    <mergeCell ref="AC15:AC17"/>
    <mergeCell ref="AD15:AD17"/>
    <mergeCell ref="AB12:AB14"/>
    <mergeCell ref="AC12:AC14"/>
    <mergeCell ref="AD12:AD14"/>
    <mergeCell ref="AE12:AE14"/>
    <mergeCell ref="AF12:AF14"/>
    <mergeCell ref="AE6:AE8"/>
    <mergeCell ref="AF6:AF8"/>
    <mergeCell ref="Z9:Z11"/>
    <mergeCell ref="AA9:AA11"/>
    <mergeCell ref="AB9:AB11"/>
    <mergeCell ref="AC9:AC11"/>
    <mergeCell ref="AD9:AD11"/>
    <mergeCell ref="AE9:AE11"/>
    <mergeCell ref="AF9:AF11"/>
    <mergeCell ref="Z6:Z8"/>
    <mergeCell ref="AA6:AA8"/>
    <mergeCell ref="AB6:AB8"/>
    <mergeCell ref="AC6:AC8"/>
    <mergeCell ref="AD6:AD8"/>
    <mergeCell ref="AB3:AB5"/>
    <mergeCell ref="AC3:AC5"/>
    <mergeCell ref="AD3:AD5"/>
    <mergeCell ref="AE3:AE5"/>
    <mergeCell ref="AF3:AF5"/>
    <mergeCell ref="Y18:Y20"/>
    <mergeCell ref="U2:X2"/>
    <mergeCell ref="Z3:Z5"/>
    <mergeCell ref="AA3:AA5"/>
    <mergeCell ref="Z12:Z14"/>
    <mergeCell ref="AA12:AA14"/>
    <mergeCell ref="Y9:Y11"/>
    <mergeCell ref="Y6:Y8"/>
    <mergeCell ref="U3:U5"/>
    <mergeCell ref="Y3:Y5"/>
    <mergeCell ref="U9:U11"/>
    <mergeCell ref="Y12:Y14"/>
    <mergeCell ref="N15:N17"/>
    <mergeCell ref="R15:R17"/>
    <mergeCell ref="S15:S17"/>
    <mergeCell ref="U15:U17"/>
    <mergeCell ref="Y15:Y17"/>
    <mergeCell ref="N12:N14"/>
    <mergeCell ref="R12:R14"/>
    <mergeCell ref="S12:S14"/>
    <mergeCell ref="U12:U14"/>
    <mergeCell ref="U6:U8"/>
    <mergeCell ref="F38:G38"/>
    <mergeCell ref="N18:N20"/>
    <mergeCell ref="R18:R20"/>
    <mergeCell ref="S18:S20"/>
    <mergeCell ref="U18:U20"/>
    <mergeCell ref="N2:Q2"/>
    <mergeCell ref="N3:N5"/>
    <mergeCell ref="R3:R5"/>
    <mergeCell ref="S3:S5"/>
    <mergeCell ref="N9:N11"/>
    <mergeCell ref="R9:R11"/>
    <mergeCell ref="S9:S11"/>
    <mergeCell ref="N6:N8"/>
    <mergeCell ref="R6:R8"/>
    <mergeCell ref="S6:S8"/>
  </mergeCells>
  <phoneticPr fontId="2" type="noConversion"/>
  <conditionalFormatting sqref="S3:S5">
    <cfRule type="cellIs" priority="1" operator="equal">
      <formula>#REF!</formula>
    </cfRule>
  </conditionalFormatting>
  <conditionalFormatting sqref="S3:T11">
    <cfRule type="colorScale" priority="3">
      <colorScale>
        <cfvo type="min"/>
        <cfvo type="max"/>
        <color rgb="FF63BE7B"/>
        <color rgb="FFFFEF9C"/>
      </colorScale>
    </cfRule>
  </conditionalFormatting>
  <conditionalFormatting sqref="S12:T20">
    <cfRule type="colorScale" priority="2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1FE7B-208C-499B-B2B3-50B338C3F3DF}">
  <dimension ref="B2:AE91"/>
  <sheetViews>
    <sheetView tabSelected="1" topLeftCell="A19" zoomScale="70" zoomScaleNormal="70" workbookViewId="0">
      <selection activeCell="A28" sqref="A28:XFD32"/>
    </sheetView>
  </sheetViews>
  <sheetFormatPr defaultRowHeight="14.5" x14ac:dyDescent="0.35"/>
  <cols>
    <col min="2" max="2" width="26.81640625" bestFit="1" customWidth="1"/>
    <col min="3" max="3" width="26.453125" style="11" bestFit="1" customWidth="1"/>
    <col min="4" max="4" width="26.54296875" style="11" bestFit="1" customWidth="1"/>
    <col min="5" max="5" width="26.453125" style="11" bestFit="1" customWidth="1"/>
    <col min="6" max="6" width="15.453125" style="11" bestFit="1" customWidth="1"/>
    <col min="7" max="8" width="14.453125" style="11" bestFit="1" customWidth="1"/>
    <col min="9" max="9" width="20" bestFit="1" customWidth="1"/>
    <col min="10" max="10" width="4.1796875" bestFit="1" customWidth="1"/>
    <col min="11" max="11" width="5.81640625" bestFit="1" customWidth="1"/>
    <col min="12" max="12" width="4.1796875" bestFit="1" customWidth="1"/>
    <col min="13" max="13" width="3.81640625" bestFit="1" customWidth="1"/>
    <col min="14" max="16" width="17.7265625" hidden="1" customWidth="1"/>
    <col min="17" max="17" width="15" hidden="1" customWidth="1"/>
    <col min="18" max="18" width="13.54296875" hidden="1" customWidth="1"/>
    <col min="19" max="19" width="0" hidden="1" customWidth="1"/>
    <col min="20" max="20" width="3.81640625" hidden="1" customWidth="1"/>
    <col min="21" max="21" width="24.26953125" hidden="1" customWidth="1"/>
    <col min="22" max="22" width="23.54296875" hidden="1" customWidth="1"/>
    <col min="23" max="23" width="24.26953125" hidden="1" customWidth="1"/>
    <col min="24" max="24" width="24.54296875" hidden="1" customWidth="1"/>
    <col min="25" max="27" width="25.7265625" hidden="1" customWidth="1"/>
    <col min="28" max="28" width="24.54296875" hidden="1" customWidth="1"/>
    <col min="29" max="29" width="14.81640625" hidden="1" customWidth="1"/>
    <col min="30" max="30" width="13.54296875" bestFit="1" customWidth="1"/>
    <col min="31" max="31" width="19.1796875" bestFit="1" customWidth="1"/>
  </cols>
  <sheetData>
    <row r="2" spans="2:31" x14ac:dyDescent="0.35">
      <c r="B2" t="s">
        <v>41</v>
      </c>
      <c r="C2" s="11" t="s">
        <v>42</v>
      </c>
      <c r="D2" s="11" t="s">
        <v>43</v>
      </c>
      <c r="E2" s="11" t="s">
        <v>44</v>
      </c>
      <c r="F2" s="11" t="s">
        <v>54</v>
      </c>
      <c r="G2" s="11" t="s">
        <v>93</v>
      </c>
      <c r="H2" s="11" t="s">
        <v>92</v>
      </c>
      <c r="I2" t="s">
        <v>37</v>
      </c>
      <c r="M2" s="102" t="s">
        <v>254</v>
      </c>
      <c r="N2" s="102"/>
      <c r="O2" s="102"/>
      <c r="P2" s="102"/>
      <c r="Q2" s="76" t="s">
        <v>239</v>
      </c>
      <c r="R2" s="28"/>
      <c r="S2" s="28"/>
      <c r="T2" s="102" t="s">
        <v>254</v>
      </c>
      <c r="U2" s="102"/>
      <c r="V2" s="102"/>
      <c r="W2" s="102"/>
      <c r="X2" s="76" t="s">
        <v>239</v>
      </c>
      <c r="Y2" s="29" t="s">
        <v>247</v>
      </c>
      <c r="Z2" s="29" t="s">
        <v>248</v>
      </c>
      <c r="AA2" s="29" t="s">
        <v>249</v>
      </c>
      <c r="AB2" s="29" t="s">
        <v>250</v>
      </c>
      <c r="AC2" s="29" t="s">
        <v>251</v>
      </c>
      <c r="AD2" s="65" t="s">
        <v>252</v>
      </c>
      <c r="AE2" s="77" t="s">
        <v>253</v>
      </c>
    </row>
    <row r="3" spans="2:31" x14ac:dyDescent="0.35">
      <c r="B3" t="s">
        <v>45</v>
      </c>
      <c r="C3" s="11">
        <v>1930000000</v>
      </c>
      <c r="D3" s="11">
        <v>2110000000</v>
      </c>
      <c r="E3" s="11">
        <v>1290000000</v>
      </c>
      <c r="F3" s="11">
        <f>SUM(Table4659[[#This Row],[U1]:[U2]])</f>
        <v>4040000000</v>
      </c>
      <c r="G3" s="11">
        <f>AVERAGE(Table4659[[#This Row],[U1]:[U3]])</f>
        <v>1776666666.6666667</v>
      </c>
      <c r="H3" s="11">
        <f>STDEV(Table4659[[#This Row],[U1]:[U3]])</f>
        <v>430967902.90383923</v>
      </c>
      <c r="I3" s="11">
        <v>1776666666.6666667</v>
      </c>
      <c r="J3">
        <v>1.8</v>
      </c>
      <c r="M3" s="103" t="s">
        <v>69</v>
      </c>
      <c r="N3" s="93">
        <v>1930000000</v>
      </c>
      <c r="O3" s="93">
        <v>2110000000</v>
      </c>
      <c r="P3" s="93">
        <v>1290000000</v>
      </c>
      <c r="Q3" s="106">
        <f>SUM(N3:P5)</f>
        <v>14260000000</v>
      </c>
      <c r="R3" s="106">
        <f>AVERAGE(N3:P5)</f>
        <v>1584444444.4444444</v>
      </c>
      <c r="S3" s="62"/>
      <c r="T3" s="103" t="s">
        <v>232</v>
      </c>
      <c r="U3" s="64">
        <f>N3^2</f>
        <v>3.7249E+18</v>
      </c>
      <c r="V3" s="64">
        <f t="shared" ref="V3:W20" si="0">O3^2</f>
        <v>4.4521E+18</v>
      </c>
      <c r="W3" s="64">
        <f t="shared" si="0"/>
        <v>1.6641E+18</v>
      </c>
      <c r="X3" s="106">
        <f>SUM(U3:W5)</f>
        <v>2.5215E+19</v>
      </c>
      <c r="Y3" s="106">
        <f>X3*9</f>
        <v>2.26935E+20</v>
      </c>
      <c r="Z3" s="106">
        <f>Q3^2</f>
        <v>2.033476E+20</v>
      </c>
      <c r="AA3" s="106">
        <f>Y3-Z3</f>
        <v>2.35874E+19</v>
      </c>
      <c r="AB3" s="106">
        <f>AA3/8</f>
        <v>2.948425E+18</v>
      </c>
      <c r="AC3" s="106">
        <f>SQRT(AB3)</f>
        <v>1717097842.2908812</v>
      </c>
      <c r="AD3" s="106">
        <f>(1/9)*AC3</f>
        <v>190788649.14343122</v>
      </c>
      <c r="AE3" s="109">
        <f>AD3/R3</f>
        <v>0.12041359342853303</v>
      </c>
    </row>
    <row r="4" spans="2:31" x14ac:dyDescent="0.35">
      <c r="B4" t="s">
        <v>46</v>
      </c>
      <c r="C4" s="11">
        <v>1330000000</v>
      </c>
      <c r="D4" s="11">
        <v>2820000000</v>
      </c>
      <c r="E4" s="11">
        <v>3820000000</v>
      </c>
      <c r="F4" s="11">
        <f>SUM(Table4659[[#This Row],[U1]:[U2]])</f>
        <v>4150000000</v>
      </c>
      <c r="G4" s="11">
        <f>AVERAGE(Table4659[[#This Row],[U1]:[U3]])</f>
        <v>2656666666.6666665</v>
      </c>
      <c r="H4" s="11">
        <f>STDEV(Table4659[[#This Row],[U1]:[U3]])</f>
        <v>1253009709.9916401</v>
      </c>
      <c r="I4" s="11">
        <v>2656666666.6666665</v>
      </c>
      <c r="J4">
        <v>2.6</v>
      </c>
      <c r="M4" s="104"/>
      <c r="N4" s="93">
        <v>2590000000</v>
      </c>
      <c r="O4" s="93">
        <v>970000000</v>
      </c>
      <c r="P4" s="93">
        <v>860000000</v>
      </c>
      <c r="Q4" s="107"/>
      <c r="R4" s="107"/>
      <c r="S4" s="62"/>
      <c r="T4" s="104"/>
      <c r="U4" s="28">
        <f t="shared" ref="U4:U20" si="1">N4^2</f>
        <v>6.7081E+18</v>
      </c>
      <c r="V4" s="28">
        <f t="shared" si="0"/>
        <v>9.409E+17</v>
      </c>
      <c r="W4" s="28">
        <f t="shared" si="0"/>
        <v>7.396E+17</v>
      </c>
      <c r="X4" s="107"/>
      <c r="Y4" s="107"/>
      <c r="Z4" s="107"/>
      <c r="AA4" s="107"/>
      <c r="AB4" s="107"/>
      <c r="AC4" s="107"/>
      <c r="AD4" s="107"/>
      <c r="AE4" s="110"/>
    </row>
    <row r="5" spans="2:31" x14ac:dyDescent="0.35">
      <c r="B5" t="s">
        <v>47</v>
      </c>
      <c r="C5" s="11">
        <v>2330000000</v>
      </c>
      <c r="D5" s="11">
        <v>950000000</v>
      </c>
      <c r="E5" s="11">
        <v>0</v>
      </c>
      <c r="F5" s="11">
        <f>SUM(Table4659[[#This Row],[U1]:[U2]])</f>
        <v>3280000000</v>
      </c>
      <c r="G5" s="11">
        <f>AVERAGE(Table4659[[#This Row],[U1]:[U3]])</f>
        <v>1093333333.3333333</v>
      </c>
      <c r="H5" s="11">
        <f>STDEV(Table4659[[#This Row],[U1]:[U2]])</f>
        <v>975807358.03743553</v>
      </c>
      <c r="I5" s="11">
        <v>1640000000</v>
      </c>
      <c r="J5">
        <v>1.6</v>
      </c>
      <c r="M5" s="105"/>
      <c r="N5" s="93">
        <v>1860000000</v>
      </c>
      <c r="O5" s="93">
        <v>1240000000</v>
      </c>
      <c r="P5" s="93">
        <v>1410000000</v>
      </c>
      <c r="Q5" s="108"/>
      <c r="R5" s="108"/>
      <c r="S5" s="62"/>
      <c r="T5" s="105"/>
      <c r="U5" s="63">
        <f t="shared" si="1"/>
        <v>3.4596E+18</v>
      </c>
      <c r="V5" s="63">
        <f t="shared" si="0"/>
        <v>1.5376E+18</v>
      </c>
      <c r="W5" s="63">
        <f t="shared" si="0"/>
        <v>1.9881E+18</v>
      </c>
      <c r="X5" s="108"/>
      <c r="Y5" s="108"/>
      <c r="Z5" s="108"/>
      <c r="AA5" s="108"/>
      <c r="AB5" s="108"/>
      <c r="AC5" s="108"/>
      <c r="AD5" s="108"/>
      <c r="AE5" s="111"/>
    </row>
    <row r="6" spans="2:31" x14ac:dyDescent="0.35">
      <c r="B6" t="s">
        <v>48</v>
      </c>
      <c r="C6" s="11">
        <v>2590000000</v>
      </c>
      <c r="D6" s="11">
        <v>970000000</v>
      </c>
      <c r="E6" s="11">
        <v>860000000</v>
      </c>
      <c r="F6" s="11">
        <f>SUM(Table4659[[#This Row],[U1]:[U2]])</f>
        <v>3560000000</v>
      </c>
      <c r="G6" s="11">
        <f>AVERAGE(Table4659[[#This Row],[U1]:[U3]])</f>
        <v>1473333333.3333333</v>
      </c>
      <c r="H6" s="11">
        <f>STDEV(Table4659[[#This Row],[U1]:[U3]])</f>
        <v>968624454.23049974</v>
      </c>
      <c r="I6" s="11">
        <v>1473333333.3333333</v>
      </c>
      <c r="J6">
        <v>1.5</v>
      </c>
      <c r="M6" s="104" t="s">
        <v>70</v>
      </c>
      <c r="N6" s="93">
        <v>1330000000</v>
      </c>
      <c r="O6" s="93">
        <v>2820000000</v>
      </c>
      <c r="P6" s="93">
        <v>3820000000</v>
      </c>
      <c r="Q6" s="106">
        <f>SUM(N6:P8)</f>
        <v>22600000000</v>
      </c>
      <c r="R6" s="106">
        <f>AVERAGE(N6:P8)</f>
        <v>2511111111.1111112</v>
      </c>
      <c r="S6" s="62"/>
      <c r="T6" s="104" t="s">
        <v>233</v>
      </c>
      <c r="U6" s="64">
        <f t="shared" si="1"/>
        <v>1.7689E+18</v>
      </c>
      <c r="V6" s="64">
        <f t="shared" si="0"/>
        <v>7.9524E+18</v>
      </c>
      <c r="W6" s="64">
        <f t="shared" si="0"/>
        <v>1.45924E+19</v>
      </c>
      <c r="X6" s="106">
        <f>SUM(U6:W8)</f>
        <v>9.90248E+19</v>
      </c>
      <c r="Y6" s="106">
        <f t="shared" ref="Y6" si="2">X6*9</f>
        <v>8.912232E+20</v>
      </c>
      <c r="Z6" s="106">
        <f>Q6^2</f>
        <v>5.1076E+20</v>
      </c>
      <c r="AA6" s="106">
        <f t="shared" ref="AA6" si="3">Y6-Z6</f>
        <v>3.804632E+20</v>
      </c>
      <c r="AB6" s="106">
        <f t="shared" ref="AB6" si="4">AA6/8</f>
        <v>4.75579E+19</v>
      </c>
      <c r="AC6" s="106">
        <f t="shared" ref="AC6" si="5">SQRT(AB6)</f>
        <v>6896223604.263423</v>
      </c>
      <c r="AD6" s="106">
        <f t="shared" ref="AD6" si="6">(1/9)*AC6</f>
        <v>766247067.14038026</v>
      </c>
      <c r="AE6" s="109">
        <f>AD6/R6</f>
        <v>0.30514263735678859</v>
      </c>
    </row>
    <row r="7" spans="2:31" x14ac:dyDescent="0.35">
      <c r="B7" t="s">
        <v>49</v>
      </c>
      <c r="C7" s="11">
        <v>8100000000</v>
      </c>
      <c r="D7" s="11">
        <v>1530000000</v>
      </c>
      <c r="E7" s="11">
        <v>1100000000</v>
      </c>
      <c r="F7" s="11">
        <f>SUM(Table4659[[#This Row],[U1]:[U2]])</f>
        <v>9630000000</v>
      </c>
      <c r="G7" s="11">
        <f>AVERAGE(Table4659[[#This Row],[U1]:[U3]])</f>
        <v>3576666666.6666665</v>
      </c>
      <c r="H7" s="11">
        <f>STDEV(Table4659[[#This Row],[U1]:[U3]])</f>
        <v>3923217217.1998496</v>
      </c>
      <c r="I7" s="11">
        <v>3576666666.6666665</v>
      </c>
      <c r="J7">
        <v>3.6</v>
      </c>
      <c r="M7" s="104"/>
      <c r="N7" s="93">
        <v>8100000000</v>
      </c>
      <c r="O7" s="93">
        <v>1530000000</v>
      </c>
      <c r="P7" s="93">
        <v>1100000000</v>
      </c>
      <c r="Q7" s="107"/>
      <c r="R7" s="107"/>
      <c r="S7" s="62"/>
      <c r="T7" s="104"/>
      <c r="U7" s="28">
        <f t="shared" si="1"/>
        <v>6.561E+19</v>
      </c>
      <c r="V7" s="28">
        <f t="shared" si="0"/>
        <v>2.3409E+18</v>
      </c>
      <c r="W7" s="28">
        <f t="shared" si="0"/>
        <v>1.21E+18</v>
      </c>
      <c r="X7" s="107"/>
      <c r="Y7" s="107"/>
      <c r="Z7" s="107"/>
      <c r="AA7" s="107"/>
      <c r="AB7" s="107"/>
      <c r="AC7" s="107"/>
      <c r="AD7" s="107"/>
      <c r="AE7" s="110"/>
    </row>
    <row r="8" spans="2:31" x14ac:dyDescent="0.35">
      <c r="B8" t="s">
        <v>50</v>
      </c>
      <c r="C8" s="11">
        <v>960000000</v>
      </c>
      <c r="D8" s="11">
        <v>950000000</v>
      </c>
      <c r="E8" s="11">
        <v>410000000</v>
      </c>
      <c r="F8" s="11">
        <f>SUM(Table4659[[#This Row],[U1]:[U2]])</f>
        <v>1910000000</v>
      </c>
      <c r="G8" s="11">
        <f>AVERAGE(Table4659[[#This Row],[U1]:[U3]])</f>
        <v>773333333.33333337</v>
      </c>
      <c r="H8" s="11">
        <f>STDEV(Table4659[[#This Row],[U1]:[U3]])</f>
        <v>314695620.13687664</v>
      </c>
      <c r="I8" s="11">
        <v>773333333.33333337</v>
      </c>
      <c r="J8">
        <v>0.7</v>
      </c>
      <c r="M8" s="105"/>
      <c r="N8" s="93">
        <v>950000000</v>
      </c>
      <c r="O8" s="93">
        <v>1090000000</v>
      </c>
      <c r="P8" s="93">
        <v>1860000000</v>
      </c>
      <c r="Q8" s="108"/>
      <c r="R8" s="108"/>
      <c r="S8" s="62"/>
      <c r="T8" s="105"/>
      <c r="U8" s="63">
        <f t="shared" si="1"/>
        <v>9.025E+17</v>
      </c>
      <c r="V8" s="63">
        <f t="shared" si="0"/>
        <v>1.1881E+18</v>
      </c>
      <c r="W8" s="63">
        <f t="shared" si="0"/>
        <v>3.4596E+18</v>
      </c>
      <c r="X8" s="108"/>
      <c r="Y8" s="108"/>
      <c r="Z8" s="108"/>
      <c r="AA8" s="108"/>
      <c r="AB8" s="108"/>
      <c r="AC8" s="108"/>
      <c r="AD8" s="108"/>
      <c r="AE8" s="111"/>
    </row>
    <row r="9" spans="2:31" x14ac:dyDescent="0.35">
      <c r="B9" t="s">
        <v>51</v>
      </c>
      <c r="C9" s="11">
        <v>1860000000</v>
      </c>
      <c r="D9" s="11">
        <v>1240000000</v>
      </c>
      <c r="E9" s="11">
        <v>1410000000</v>
      </c>
      <c r="F9" s="11">
        <f>SUM(Table4659[[#This Row],[U1]:[U2]])</f>
        <v>3100000000</v>
      </c>
      <c r="G9" s="11">
        <f>AVERAGE(Table4659[[#This Row],[U1]:[U3]])</f>
        <v>1503333333.3333333</v>
      </c>
      <c r="H9" s="11">
        <f>STDEV(Table4659[[#This Row],[U1]:[U3]])</f>
        <v>320364375.88054872</v>
      </c>
      <c r="I9" s="11">
        <v>1503333333.3333333</v>
      </c>
      <c r="J9">
        <v>1.5</v>
      </c>
      <c r="M9" s="104" t="s">
        <v>71</v>
      </c>
      <c r="N9" s="93">
        <v>2330000000</v>
      </c>
      <c r="O9" s="93">
        <v>950000000</v>
      </c>
      <c r="P9" s="93">
        <v>0</v>
      </c>
      <c r="Q9" s="106">
        <f>SUM(N9:P11)</f>
        <v>6680000000</v>
      </c>
      <c r="R9" s="106">
        <f>AVERAGE(N9:P11)</f>
        <v>742222222.22222221</v>
      </c>
      <c r="S9" s="62"/>
      <c r="T9" s="104" t="s">
        <v>234</v>
      </c>
      <c r="U9" s="64">
        <f t="shared" si="1"/>
        <v>5.4289E+18</v>
      </c>
      <c r="V9" s="64">
        <f t="shared" si="0"/>
        <v>9.025E+17</v>
      </c>
      <c r="W9" s="64">
        <f t="shared" si="0"/>
        <v>0</v>
      </c>
      <c r="X9" s="106">
        <f>SUM(U9:W11)</f>
        <v>8.7858E+18</v>
      </c>
      <c r="Y9" s="106">
        <f t="shared" ref="Y9" si="7">X9*9</f>
        <v>7.90722E+19</v>
      </c>
      <c r="Z9" s="106">
        <f>Q9^2</f>
        <v>4.46224E+19</v>
      </c>
      <c r="AA9" s="106">
        <f t="shared" ref="AA9" si="8">Y9-Z9</f>
        <v>3.44498E+19</v>
      </c>
      <c r="AB9" s="106">
        <f t="shared" ref="AB9" si="9">AA9/8</f>
        <v>4.306225E+18</v>
      </c>
      <c r="AC9" s="106">
        <f t="shared" ref="AC9" si="10">SQRT(AB9)</f>
        <v>2075144573.2767632</v>
      </c>
      <c r="AD9" s="106">
        <f t="shared" ref="AD9" si="11">(1/9)*AC9</f>
        <v>230571619.25297368</v>
      </c>
      <c r="AE9" s="109">
        <f>AD9/R9</f>
        <v>0.3106503852210723</v>
      </c>
    </row>
    <row r="10" spans="2:31" x14ac:dyDescent="0.35">
      <c r="B10" t="s">
        <v>52</v>
      </c>
      <c r="C10" s="11">
        <v>950000000</v>
      </c>
      <c r="D10" s="11">
        <v>1090000000</v>
      </c>
      <c r="E10" s="11">
        <v>1860000000</v>
      </c>
      <c r="F10" s="11">
        <f>SUM(Table4659[[#This Row],[U1]:[U2]])</f>
        <v>2040000000</v>
      </c>
      <c r="G10" s="11">
        <f>AVERAGE(Table4659[[#This Row],[U1]:[U3]])</f>
        <v>1300000000</v>
      </c>
      <c r="H10" s="11">
        <f>STDEV(Table4659[[#This Row],[U1]:[U3]])</f>
        <v>490000000</v>
      </c>
      <c r="I10" s="11">
        <v>1300000000</v>
      </c>
      <c r="J10">
        <v>1.3</v>
      </c>
      <c r="K10">
        <v>9</v>
      </c>
      <c r="M10" s="104"/>
      <c r="N10" s="93">
        <v>960000000</v>
      </c>
      <c r="O10" s="93">
        <v>950000000</v>
      </c>
      <c r="P10" s="93">
        <v>410000000</v>
      </c>
      <c r="Q10" s="107"/>
      <c r="R10" s="107"/>
      <c r="S10" s="62"/>
      <c r="T10" s="104"/>
      <c r="U10" s="28">
        <f t="shared" si="1"/>
        <v>9.216E+17</v>
      </c>
      <c r="V10" s="28">
        <f t="shared" si="0"/>
        <v>9.025E+17</v>
      </c>
      <c r="W10" s="28">
        <f t="shared" si="0"/>
        <v>1.681E+17</v>
      </c>
      <c r="X10" s="107"/>
      <c r="Y10" s="107"/>
      <c r="Z10" s="107"/>
      <c r="AA10" s="107"/>
      <c r="AB10" s="107"/>
      <c r="AC10" s="107"/>
      <c r="AD10" s="107"/>
      <c r="AE10" s="110"/>
    </row>
    <row r="11" spans="2:31" x14ac:dyDescent="0.35">
      <c r="B11" t="s">
        <v>53</v>
      </c>
      <c r="C11" s="11">
        <v>230000000</v>
      </c>
      <c r="D11" s="11">
        <v>270000000</v>
      </c>
      <c r="E11" s="11">
        <v>580000000</v>
      </c>
      <c r="F11" s="11">
        <f>SUM(Table4659[[#This Row],[U1]:[U2]])</f>
        <v>500000000</v>
      </c>
      <c r="G11" s="11">
        <f>AVERAGE(Table4659[[#This Row],[U1]:[U3]])</f>
        <v>360000000</v>
      </c>
      <c r="H11" s="11">
        <f>STDEV(Table4659[[#This Row],[U1]:[U3]])</f>
        <v>191572440.60668015</v>
      </c>
      <c r="I11" s="11">
        <v>360000000</v>
      </c>
      <c r="J11">
        <v>0.4</v>
      </c>
      <c r="K11">
        <v>3</v>
      </c>
      <c r="M11" s="105"/>
      <c r="N11" s="93">
        <v>230000000</v>
      </c>
      <c r="O11" s="93">
        <v>270000000</v>
      </c>
      <c r="P11" s="93">
        <v>580000000</v>
      </c>
      <c r="Q11" s="108"/>
      <c r="R11" s="108"/>
      <c r="S11" s="62"/>
      <c r="T11" s="105"/>
      <c r="U11" s="63">
        <f t="shared" si="1"/>
        <v>5.29E+16</v>
      </c>
      <c r="V11" s="63">
        <f t="shared" si="0"/>
        <v>7.29E+16</v>
      </c>
      <c r="W11" s="63">
        <f t="shared" si="0"/>
        <v>3.364E+17</v>
      </c>
      <c r="X11" s="108"/>
      <c r="Y11" s="108"/>
      <c r="Z11" s="108"/>
      <c r="AA11" s="108"/>
      <c r="AB11" s="108"/>
      <c r="AC11" s="108"/>
      <c r="AD11" s="108"/>
      <c r="AE11" s="111"/>
    </row>
    <row r="12" spans="2:31" x14ac:dyDescent="0.35">
      <c r="B12" t="s">
        <v>54</v>
      </c>
      <c r="C12" s="11">
        <f>SUM(C3:C11)</f>
        <v>20280000000</v>
      </c>
      <c r="D12" s="11">
        <f>SUM(D3:D11)</f>
        <v>11930000000</v>
      </c>
      <c r="E12" s="11">
        <f>SUM(E3:E11)</f>
        <v>11330000000</v>
      </c>
      <c r="F12" s="11">
        <f>SUM(F3:F11)</f>
        <v>32210000000</v>
      </c>
      <c r="I12" s="11"/>
      <c r="M12" s="104" t="s">
        <v>65</v>
      </c>
      <c r="N12" s="93">
        <v>1930000000</v>
      </c>
      <c r="O12" s="93">
        <v>2110000000</v>
      </c>
      <c r="P12" s="93">
        <v>1290000000</v>
      </c>
      <c r="Q12" s="106">
        <f>SUM(N12:P14)</f>
        <v>16580000000</v>
      </c>
      <c r="R12" s="106">
        <f>AVERAGE(N12:P14)</f>
        <v>1842222222.2222223</v>
      </c>
      <c r="S12" s="62"/>
      <c r="T12" s="104" t="s">
        <v>236</v>
      </c>
      <c r="U12" s="64">
        <f t="shared" si="1"/>
        <v>3.7249E+18</v>
      </c>
      <c r="V12" s="64">
        <f t="shared" si="0"/>
        <v>4.4521E+18</v>
      </c>
      <c r="W12" s="64">
        <f t="shared" si="0"/>
        <v>1.6641E+18</v>
      </c>
      <c r="X12" s="106">
        <f>SUM(U12:W14)</f>
        <v>4.04862E+19</v>
      </c>
      <c r="Y12" s="106">
        <f t="shared" ref="Y12" si="12">X12*9</f>
        <v>3.6437580000000003E+20</v>
      </c>
      <c r="Z12" s="106">
        <f>Q12^2</f>
        <v>2.748964E+20</v>
      </c>
      <c r="AA12" s="106">
        <f t="shared" ref="AA12" si="13">Y12-Z12</f>
        <v>8.9479400000000033E+19</v>
      </c>
      <c r="AB12" s="106">
        <f t="shared" ref="AB12" si="14">AA12/8</f>
        <v>1.1184925000000004E+19</v>
      </c>
      <c r="AC12" s="106">
        <f t="shared" ref="AC12" si="15">SQRT(AB12)</f>
        <v>3344387088.8400469</v>
      </c>
      <c r="AD12" s="106">
        <f t="shared" ref="AD12" si="16">(1/9)*AC12</f>
        <v>371598565.42667186</v>
      </c>
      <c r="AE12" s="109">
        <f>AD12/R12</f>
        <v>0.20171212839807276</v>
      </c>
    </row>
    <row r="13" spans="2:31" x14ac:dyDescent="0.35">
      <c r="B13" t="s">
        <v>93</v>
      </c>
      <c r="C13" s="11">
        <f>AVERAGE(C3:C11)</f>
        <v>2253333333.3333335</v>
      </c>
      <c r="D13" s="11">
        <f>AVERAGE(D3:D11)</f>
        <v>1325555555.5555556</v>
      </c>
      <c r="E13" s="11">
        <f>AVERAGE(E3:E11)</f>
        <v>1258888888.8888888</v>
      </c>
      <c r="I13" s="11"/>
      <c r="M13" s="104"/>
      <c r="N13" s="93">
        <v>1330000000</v>
      </c>
      <c r="O13" s="93">
        <v>2820000000</v>
      </c>
      <c r="P13" s="93">
        <v>3820000000</v>
      </c>
      <c r="Q13" s="107"/>
      <c r="R13" s="107"/>
      <c r="S13" s="62"/>
      <c r="T13" s="104"/>
      <c r="U13" s="28">
        <f t="shared" si="1"/>
        <v>1.7689E+18</v>
      </c>
      <c r="V13" s="28">
        <f t="shared" si="0"/>
        <v>7.9524E+18</v>
      </c>
      <c r="W13" s="28">
        <f t="shared" si="0"/>
        <v>1.45924E+19</v>
      </c>
      <c r="X13" s="107"/>
      <c r="Y13" s="107"/>
      <c r="Z13" s="107"/>
      <c r="AA13" s="107"/>
      <c r="AB13" s="107"/>
      <c r="AC13" s="107"/>
      <c r="AD13" s="107"/>
      <c r="AE13" s="110"/>
    </row>
    <row r="14" spans="2:31" x14ac:dyDescent="0.35">
      <c r="I14" s="11"/>
      <c r="M14" s="105"/>
      <c r="N14" s="93">
        <v>2330000000</v>
      </c>
      <c r="O14" s="93">
        <v>950000000</v>
      </c>
      <c r="P14" s="93">
        <v>0</v>
      </c>
      <c r="Q14" s="108"/>
      <c r="R14" s="108"/>
      <c r="S14" s="62"/>
      <c r="T14" s="105"/>
      <c r="U14" s="63">
        <f t="shared" si="1"/>
        <v>5.4289E+18</v>
      </c>
      <c r="V14" s="63">
        <f t="shared" si="0"/>
        <v>9.025E+17</v>
      </c>
      <c r="W14" s="63">
        <f t="shared" si="0"/>
        <v>0</v>
      </c>
      <c r="X14" s="108"/>
      <c r="Y14" s="108"/>
      <c r="Z14" s="108"/>
      <c r="AA14" s="108"/>
      <c r="AB14" s="108"/>
      <c r="AC14" s="108"/>
      <c r="AD14" s="108"/>
      <c r="AE14" s="111"/>
    </row>
    <row r="15" spans="2:31" x14ac:dyDescent="0.35">
      <c r="B15" s="67" t="s">
        <v>58</v>
      </c>
      <c r="C15" s="68">
        <f>(F12^2)/(F15*F16)</f>
        <v>3.8425337037037036E+19</v>
      </c>
      <c r="D15"/>
      <c r="E15" t="s">
        <v>63</v>
      </c>
      <c r="F15">
        <v>9</v>
      </c>
      <c r="G15" s="67" t="s">
        <v>245</v>
      </c>
      <c r="H15" s="69">
        <f>(SUMSQ(F23:F25)/(F15))-C15</f>
        <v>5.0613851851851858E+18</v>
      </c>
      <c r="M15" s="104" t="s">
        <v>66</v>
      </c>
      <c r="N15" s="93">
        <v>2590000000</v>
      </c>
      <c r="O15" s="93">
        <v>970000000</v>
      </c>
      <c r="P15" s="93">
        <v>860000000</v>
      </c>
      <c r="Q15" s="106">
        <f>SUM(N15:P17)</f>
        <v>17470000000</v>
      </c>
      <c r="R15" s="106">
        <f>AVERAGE(N15:P17)</f>
        <v>1941111111.1111112</v>
      </c>
      <c r="S15" s="62"/>
      <c r="T15" s="104" t="s">
        <v>237</v>
      </c>
      <c r="U15" s="64">
        <f t="shared" si="1"/>
        <v>6.7081E+18</v>
      </c>
      <c r="V15" s="64">
        <f t="shared" si="0"/>
        <v>9.409E+17</v>
      </c>
      <c r="W15" s="64">
        <f t="shared" si="0"/>
        <v>7.396E+17</v>
      </c>
      <c r="X15" s="106">
        <f>SUM(U15:W17)</f>
        <v>7.95417E+19</v>
      </c>
      <c r="Y15" s="106">
        <f t="shared" ref="Y15" si="17">X15*9</f>
        <v>7.1587529999999998E+20</v>
      </c>
      <c r="Z15" s="106">
        <f>Q15^2</f>
        <v>3.0520089999999998E+20</v>
      </c>
      <c r="AA15" s="106">
        <f t="shared" ref="AA15" si="18">Y15-Z15</f>
        <v>4.106744E+20</v>
      </c>
      <c r="AB15" s="106">
        <f t="shared" ref="AB15" si="19">AA15/8</f>
        <v>5.13343E+19</v>
      </c>
      <c r="AC15" s="106">
        <f t="shared" ref="AC15" si="20">SQRT(AB15)</f>
        <v>7164795879.8558941</v>
      </c>
      <c r="AD15" s="106">
        <f t="shared" ref="AD15" si="21">(1/9)*AC15</f>
        <v>796088431.09509933</v>
      </c>
      <c r="AE15" s="109">
        <f>AD15/R15</f>
        <v>0.41011997022643926</v>
      </c>
    </row>
    <row r="16" spans="2:31" x14ac:dyDescent="0.35">
      <c r="B16" s="67" t="s">
        <v>59</v>
      </c>
      <c r="C16" s="31">
        <f>(SUMSQ(C3:E11))-C15</f>
        <v>9.4600262962962956E+19</v>
      </c>
      <c r="D16"/>
      <c r="E16" t="s">
        <v>64</v>
      </c>
      <c r="F16">
        <v>3</v>
      </c>
      <c r="G16" s="67" t="s">
        <v>246</v>
      </c>
      <c r="H16" s="69">
        <f>(SUMSQ(C26:E26)/(F15))-C15</f>
        <v>5.7011629629629645E+18</v>
      </c>
      <c r="J16">
        <v>1.8</v>
      </c>
      <c r="K16">
        <v>2.6</v>
      </c>
      <c r="L16">
        <v>1.6</v>
      </c>
      <c r="M16" s="104"/>
      <c r="N16" s="93">
        <v>8100000000</v>
      </c>
      <c r="O16" s="93">
        <v>1530000000</v>
      </c>
      <c r="P16" s="93">
        <v>1100000000</v>
      </c>
      <c r="Q16" s="107"/>
      <c r="R16" s="107"/>
      <c r="S16" s="62"/>
      <c r="T16" s="104"/>
      <c r="U16" s="28">
        <f t="shared" si="1"/>
        <v>6.561E+19</v>
      </c>
      <c r="V16" s="28">
        <f t="shared" si="0"/>
        <v>2.3409E+18</v>
      </c>
      <c r="W16" s="28">
        <f t="shared" si="0"/>
        <v>1.21E+18</v>
      </c>
      <c r="X16" s="107"/>
      <c r="Y16" s="107"/>
      <c r="Z16" s="107"/>
      <c r="AA16" s="107"/>
      <c r="AB16" s="107"/>
      <c r="AC16" s="107"/>
      <c r="AD16" s="107"/>
      <c r="AE16" s="110"/>
    </row>
    <row r="17" spans="2:31" x14ac:dyDescent="0.35">
      <c r="B17" s="67" t="s">
        <v>60</v>
      </c>
      <c r="C17" s="31">
        <f>(SUMSQ(C12:E12)/F15)-C15</f>
        <v>3.734935185185185E+19</v>
      </c>
      <c r="D17"/>
      <c r="E17"/>
      <c r="F17"/>
      <c r="G17" s="67" t="s">
        <v>244</v>
      </c>
      <c r="H17" s="69">
        <f>C18-H16-H15</f>
        <v>6.6063481481481503E+18</v>
      </c>
      <c r="M17" s="105"/>
      <c r="N17" s="93">
        <v>960000000</v>
      </c>
      <c r="O17" s="93">
        <v>950000000</v>
      </c>
      <c r="P17" s="93">
        <v>410000000</v>
      </c>
      <c r="Q17" s="108"/>
      <c r="R17" s="108"/>
      <c r="S17" s="62"/>
      <c r="T17" s="105"/>
      <c r="U17" s="63">
        <f t="shared" si="1"/>
        <v>9.216E+17</v>
      </c>
      <c r="V17" s="63">
        <f t="shared" si="0"/>
        <v>9.025E+17</v>
      </c>
      <c r="W17" s="63">
        <f t="shared" si="0"/>
        <v>1.681E+17</v>
      </c>
      <c r="X17" s="108"/>
      <c r="Y17" s="108"/>
      <c r="Z17" s="108"/>
      <c r="AA17" s="108"/>
      <c r="AB17" s="108"/>
      <c r="AC17" s="108"/>
      <c r="AD17" s="108"/>
      <c r="AE17" s="111"/>
    </row>
    <row r="18" spans="2:31" x14ac:dyDescent="0.35">
      <c r="B18" s="67" t="s">
        <v>61</v>
      </c>
      <c r="C18" s="31">
        <f>(SUMSQ(F3:F11)/F16)-C15</f>
        <v>1.7368896296296301E+19</v>
      </c>
      <c r="D18"/>
      <c r="E18"/>
      <c r="F18"/>
      <c r="G18"/>
      <c r="H18"/>
      <c r="M18" s="104" t="s">
        <v>67</v>
      </c>
      <c r="N18" s="93">
        <v>1860000000</v>
      </c>
      <c r="O18" s="93">
        <v>1240000000</v>
      </c>
      <c r="P18" s="93">
        <v>1410000000</v>
      </c>
      <c r="Q18" s="106">
        <f>SUM(N18:P20)</f>
        <v>9490000000</v>
      </c>
      <c r="R18" s="106">
        <f>AVERAGE(N18:P20)</f>
        <v>1054444444.4444444</v>
      </c>
      <c r="S18" s="62"/>
      <c r="T18" s="104" t="s">
        <v>238</v>
      </c>
      <c r="U18" s="64">
        <f t="shared" si="1"/>
        <v>3.4596E+18</v>
      </c>
      <c r="V18" s="64">
        <f t="shared" si="0"/>
        <v>1.5376E+18</v>
      </c>
      <c r="W18" s="64">
        <f t="shared" si="0"/>
        <v>1.9881E+18</v>
      </c>
      <c r="X18" s="106">
        <f>SUM(U18:W20)</f>
        <v>1.29977E+19</v>
      </c>
      <c r="Y18" s="106">
        <f t="shared" ref="Y18" si="22">X18*9</f>
        <v>1.169793E+20</v>
      </c>
      <c r="Z18" s="106">
        <f>Q18^2</f>
        <v>9.00601E+19</v>
      </c>
      <c r="AA18" s="106">
        <f t="shared" ref="AA18" si="23">Y18-Z18</f>
        <v>2.69192E+19</v>
      </c>
      <c r="AB18" s="106">
        <f t="shared" ref="AB18" si="24">AA18/8</f>
        <v>3.3649E+18</v>
      </c>
      <c r="AC18" s="106">
        <f t="shared" ref="AC18" si="25">SQRT(AB18)</f>
        <v>1834366375.6185677</v>
      </c>
      <c r="AD18" s="106">
        <f t="shared" ref="AD18" si="26">(1/9)*AC18</f>
        <v>203818486.17984083</v>
      </c>
      <c r="AE18" s="109">
        <f>AD18/R18</f>
        <v>0.19329466550248342</v>
      </c>
    </row>
    <row r="19" spans="2:31" x14ac:dyDescent="0.35">
      <c r="B19" s="67" t="s">
        <v>62</v>
      </c>
      <c r="C19" s="31">
        <f>C16-C17-C18</f>
        <v>3.9882014814814806E+19</v>
      </c>
      <c r="D19"/>
      <c r="E19"/>
      <c r="F19"/>
      <c r="G19"/>
      <c r="H19"/>
      <c r="M19" s="104"/>
      <c r="N19" s="93">
        <v>950000000</v>
      </c>
      <c r="O19" s="93">
        <v>1090000000</v>
      </c>
      <c r="P19" s="93">
        <v>1860000000</v>
      </c>
      <c r="Q19" s="107"/>
      <c r="R19" s="107"/>
      <c r="S19" s="62"/>
      <c r="T19" s="104"/>
      <c r="U19" s="28">
        <f t="shared" si="1"/>
        <v>9.025E+17</v>
      </c>
      <c r="V19" s="28">
        <f t="shared" si="0"/>
        <v>1.1881E+18</v>
      </c>
      <c r="W19" s="28">
        <f t="shared" si="0"/>
        <v>3.4596E+18</v>
      </c>
      <c r="X19" s="107"/>
      <c r="Y19" s="107"/>
      <c r="Z19" s="107"/>
      <c r="AA19" s="107"/>
      <c r="AB19" s="107"/>
      <c r="AC19" s="107"/>
      <c r="AD19" s="107"/>
      <c r="AE19" s="110"/>
    </row>
    <row r="20" spans="2:31" x14ac:dyDescent="0.35">
      <c r="C20"/>
      <c r="D20"/>
      <c r="E20"/>
      <c r="F20"/>
      <c r="G20"/>
      <c r="H20"/>
      <c r="M20" s="105"/>
      <c r="N20" s="93">
        <v>230000000</v>
      </c>
      <c r="O20" s="93">
        <v>270000000</v>
      </c>
      <c r="P20" s="93">
        <v>580000000</v>
      </c>
      <c r="Q20" s="108"/>
      <c r="R20" s="108"/>
      <c r="S20" s="62"/>
      <c r="T20" s="105"/>
      <c r="U20" s="63">
        <f t="shared" si="1"/>
        <v>5.29E+16</v>
      </c>
      <c r="V20" s="63">
        <f t="shared" si="0"/>
        <v>7.29E+16</v>
      </c>
      <c r="W20" s="63">
        <f t="shared" si="0"/>
        <v>3.364E+17</v>
      </c>
      <c r="X20" s="108"/>
      <c r="Y20" s="108"/>
      <c r="Z20" s="108"/>
      <c r="AA20" s="108"/>
      <c r="AB20" s="108"/>
      <c r="AC20" s="108"/>
      <c r="AD20" s="108"/>
      <c r="AE20" s="111"/>
    </row>
    <row r="21" spans="2:31" x14ac:dyDescent="0.35">
      <c r="B21" t="s">
        <v>91</v>
      </c>
      <c r="C21"/>
      <c r="D21"/>
      <c r="E21"/>
      <c r="F21"/>
      <c r="G21"/>
      <c r="H21"/>
    </row>
    <row r="22" spans="2:31" x14ac:dyDescent="0.35">
      <c r="B22" t="s">
        <v>41</v>
      </c>
      <c r="C22" t="s">
        <v>69</v>
      </c>
      <c r="D22" t="s">
        <v>70</v>
      </c>
      <c r="E22" t="s">
        <v>71</v>
      </c>
      <c r="F22" t="s">
        <v>54</v>
      </c>
      <c r="G22" t="s">
        <v>93</v>
      </c>
      <c r="H22"/>
    </row>
    <row r="23" spans="2:31" x14ac:dyDescent="0.35">
      <c r="B23" t="s">
        <v>65</v>
      </c>
      <c r="C23" s="3">
        <f>F3</f>
        <v>4040000000</v>
      </c>
      <c r="D23" s="3">
        <f>F4</f>
        <v>4150000000</v>
      </c>
      <c r="E23" s="3">
        <f>F5</f>
        <v>3280000000</v>
      </c>
      <c r="F23" s="3">
        <f>SUM(Table19538084909294[[#This Row],[S1]:[S3]])</f>
        <v>11470000000</v>
      </c>
      <c r="G23" s="3">
        <f>Table19538084909294[[#This Row],[Total]]/9</f>
        <v>1274444444.4444444</v>
      </c>
      <c r="H23"/>
    </row>
    <row r="24" spans="2:31" x14ac:dyDescent="0.35">
      <c r="B24" t="s">
        <v>66</v>
      </c>
      <c r="C24" s="3">
        <f>F6</f>
        <v>3560000000</v>
      </c>
      <c r="D24" s="3">
        <f>F7</f>
        <v>9630000000</v>
      </c>
      <c r="E24" s="3">
        <f>F8</f>
        <v>1910000000</v>
      </c>
      <c r="F24" s="3">
        <f>SUM(Table19538084909294[[#This Row],[S1]:[S3]])</f>
        <v>15100000000</v>
      </c>
      <c r="G24" s="3">
        <f>Table19538084909294[[#This Row],[Total]]/9</f>
        <v>1677777777.7777777</v>
      </c>
      <c r="H24"/>
    </row>
    <row r="25" spans="2:31" x14ac:dyDescent="0.35">
      <c r="B25" t="s">
        <v>67</v>
      </c>
      <c r="C25" s="3">
        <f>F9</f>
        <v>3100000000</v>
      </c>
      <c r="D25" s="3">
        <f>F10</f>
        <v>2040000000</v>
      </c>
      <c r="E25" s="3">
        <f>F11</f>
        <v>500000000</v>
      </c>
      <c r="F25" s="3">
        <f>SUM(Table19538084909294[[#This Row],[S1]:[S3]])</f>
        <v>5640000000</v>
      </c>
      <c r="G25" s="3">
        <f>Table19538084909294[[#This Row],[Total]]/9</f>
        <v>626666666.66666663</v>
      </c>
      <c r="H25"/>
    </row>
    <row r="26" spans="2:31" x14ac:dyDescent="0.35">
      <c r="B26" t="s">
        <v>54</v>
      </c>
      <c r="C26" s="3">
        <f>SUM(C23:C25)</f>
        <v>10700000000</v>
      </c>
      <c r="D26" s="3">
        <f t="shared" ref="D26:E26" si="27">SUM(D23:D25)</f>
        <v>15820000000</v>
      </c>
      <c r="E26" s="3">
        <f t="shared" si="27"/>
        <v>5690000000</v>
      </c>
      <c r="F26" s="3">
        <f>SUM(F23:F25)</f>
        <v>32210000000</v>
      </c>
      <c r="G26" s="3"/>
      <c r="H26"/>
    </row>
    <row r="27" spans="2:31" x14ac:dyDescent="0.35">
      <c r="B27" t="s">
        <v>93</v>
      </c>
      <c r="C27" s="3">
        <f>C26/9</f>
        <v>1188888888.8888888</v>
      </c>
      <c r="D27" s="3">
        <f t="shared" ref="D27:E27" si="28">D26/9</f>
        <v>1757777777.7777777</v>
      </c>
      <c r="E27" s="3">
        <f t="shared" si="28"/>
        <v>632222222.22222221</v>
      </c>
      <c r="F27" s="3"/>
      <c r="G27" s="3"/>
      <c r="H27"/>
    </row>
    <row r="28" spans="2:31" x14ac:dyDescent="0.35">
      <c r="B28" t="s">
        <v>73</v>
      </c>
      <c r="C28"/>
      <c r="D28"/>
      <c r="E28"/>
      <c r="F28"/>
      <c r="G28"/>
      <c r="H28"/>
    </row>
    <row r="29" spans="2:31" x14ac:dyDescent="0.35">
      <c r="B29" t="s">
        <v>74</v>
      </c>
      <c r="C29" t="s">
        <v>77</v>
      </c>
      <c r="D29" t="s">
        <v>78</v>
      </c>
      <c r="E29" t="s">
        <v>79</v>
      </c>
      <c r="F29" t="s">
        <v>80</v>
      </c>
      <c r="G29" t="s">
        <v>81</v>
      </c>
      <c r="H29" t="s">
        <v>82</v>
      </c>
      <c r="I29" t="s">
        <v>83</v>
      </c>
    </row>
    <row r="30" spans="2:31" x14ac:dyDescent="0.35">
      <c r="B30" s="72" t="s">
        <v>95</v>
      </c>
      <c r="C30" s="72">
        <v>2</v>
      </c>
      <c r="D30" s="73">
        <f>C17</f>
        <v>3.734935185185185E+19</v>
      </c>
      <c r="E30" s="73">
        <f>Table44247783899193[[#This Row],[J.K]]/Table44247783899193[[#This Row],[d.b]]</f>
        <v>1.8674675925925925E+19</v>
      </c>
      <c r="F30" s="73">
        <f>E30/E35</f>
        <v>7.4919689038333823</v>
      </c>
      <c r="G30" s="73">
        <f t="shared" ref="G30:G31" si="29">FINV(0.05,C30,C35)</f>
        <v>3.6337234675916301</v>
      </c>
      <c r="H30" s="73">
        <f t="shared" ref="H30:H31" si="30">FINV(0.01,C30,C35)</f>
        <v>6.2262352803113821</v>
      </c>
      <c r="I30" s="72" t="str">
        <f t="shared" ref="I30:I34" si="31">IF(F30&lt;G30,"tidak berbeda nyata","berbeda nyata")</f>
        <v>berbeda nyata</v>
      </c>
    </row>
    <row r="31" spans="2:31" x14ac:dyDescent="0.35">
      <c r="B31" s="72" t="s">
        <v>41</v>
      </c>
      <c r="C31" s="72">
        <v>8</v>
      </c>
      <c r="D31" s="73">
        <f>C18</f>
        <v>1.7368896296296301E+19</v>
      </c>
      <c r="E31" s="73">
        <f>Table44247783899193[[#This Row],[J.K]]/Table44247783899193[[#This Row],[d.b]]</f>
        <v>2.1711120370370376E+18</v>
      </c>
      <c r="F31" s="73">
        <f>E31/E35</f>
        <v>0.87101398346827497</v>
      </c>
      <c r="G31" s="73">
        <f t="shared" si="29"/>
        <v>2.3205272350337482</v>
      </c>
      <c r="H31" s="73">
        <f t="shared" si="30"/>
        <v>3.2883985212388325</v>
      </c>
      <c r="I31" s="72" t="str">
        <f t="shared" si="31"/>
        <v>tidak berbeda nyata</v>
      </c>
    </row>
    <row r="32" spans="2:31" x14ac:dyDescent="0.35">
      <c r="B32" s="72" t="s">
        <v>76</v>
      </c>
      <c r="C32" s="72">
        <v>2</v>
      </c>
      <c r="D32" s="73">
        <f>H15</f>
        <v>5.0613851851851858E+18</v>
      </c>
      <c r="E32" s="73">
        <f>Table44247783899193[[#This Row],[J.K]]/Table44247783899193[[#This Row],[d.b]]</f>
        <v>2.5306925925925929E+18</v>
      </c>
      <c r="F32" s="73">
        <f>E32/E35</f>
        <v>1.0152717125625366</v>
      </c>
      <c r="G32" s="73">
        <f>FINV(0.05,C32,C35)</f>
        <v>3.6337234675916301</v>
      </c>
      <c r="H32" s="73">
        <f>FINV(0.01,C32,C35)</f>
        <v>6.2262352803113821</v>
      </c>
      <c r="I32" s="72" t="str">
        <f t="shared" si="31"/>
        <v>tidak berbeda nyata</v>
      </c>
    </row>
    <row r="33" spans="2:9" x14ac:dyDescent="0.35">
      <c r="B33" s="72" t="s">
        <v>239</v>
      </c>
      <c r="C33" s="72">
        <v>2</v>
      </c>
      <c r="D33" s="73">
        <f>H16</f>
        <v>5.7011629629629645E+18</v>
      </c>
      <c r="E33" s="73">
        <f>Table44247783899193[[#This Row],[J.K]]/Table44247783899193[[#This Row],[d.b]]</f>
        <v>2.8505814814814822E+18</v>
      </c>
      <c r="F33" s="73">
        <f>E33/E35</f>
        <v>1.1436058061630683</v>
      </c>
      <c r="G33" s="73">
        <f>FINV(0.05,C33,C35)</f>
        <v>3.6337234675916301</v>
      </c>
      <c r="H33" s="73">
        <f>FINV(0.01,C33,C35)</f>
        <v>6.2262352803113821</v>
      </c>
      <c r="I33" s="72" t="str">
        <f t="shared" si="31"/>
        <v>tidak berbeda nyata</v>
      </c>
    </row>
    <row r="34" spans="2:9" x14ac:dyDescent="0.35">
      <c r="B34" s="70" t="s">
        <v>240</v>
      </c>
      <c r="C34" s="70">
        <v>4</v>
      </c>
      <c r="D34" s="71">
        <f>H17</f>
        <v>6.6063481481481503E+18</v>
      </c>
      <c r="E34" s="71">
        <f>Table44247783899193[[#This Row],[J.K]]/Table44247783899193[[#This Row],[d.b]]</f>
        <v>1.6515870370370376E+18</v>
      </c>
      <c r="F34" s="71">
        <f>E34/E35</f>
        <v>0.66258920757374751</v>
      </c>
      <c r="G34" s="71">
        <f>FINV(0.05,C34,C35)</f>
        <v>3.0069172799243447</v>
      </c>
      <c r="H34" s="71">
        <f>FINV(0.01,C34,C35)</f>
        <v>4.772577999723211</v>
      </c>
      <c r="I34" s="70" t="str">
        <f t="shared" si="31"/>
        <v>tidak berbeda nyata</v>
      </c>
    </row>
    <row r="35" spans="2:9" x14ac:dyDescent="0.35">
      <c r="B35" t="s">
        <v>96</v>
      </c>
      <c r="C35">
        <v>16</v>
      </c>
      <c r="D35" s="3">
        <f>C19</f>
        <v>3.9882014814814806E+19</v>
      </c>
      <c r="E35" s="3">
        <f>Table44247783899193[[#This Row],[J.K]]/Table44247783899193[[#This Row],[d.b]]</f>
        <v>2.4926259259259254E+18</v>
      </c>
      <c r="F35" s="3"/>
      <c r="G35" s="3"/>
      <c r="H35" s="3"/>
    </row>
    <row r="36" spans="2:9" x14ac:dyDescent="0.35">
      <c r="B36" t="s">
        <v>54</v>
      </c>
      <c r="C36">
        <v>26</v>
      </c>
      <c r="D36" s="3">
        <f>C16</f>
        <v>9.4600262962962956E+19</v>
      </c>
      <c r="E36" s="3">
        <f>Table44247783899193[[#This Row],[J.K]]/Table44247783899193[[#This Row],[d.b]]</f>
        <v>3.638471652421652E+18</v>
      </c>
      <c r="F36" s="3"/>
      <c r="G36" s="3"/>
      <c r="H36" s="3"/>
    </row>
    <row r="37" spans="2:9" ht="15" thickBot="1" x14ac:dyDescent="0.4">
      <c r="I37" s="11"/>
    </row>
    <row r="38" spans="2:9" x14ac:dyDescent="0.35">
      <c r="B38" t="s">
        <v>45</v>
      </c>
      <c r="C38" s="11">
        <v>1776666666.6666667</v>
      </c>
      <c r="D38" s="74">
        <v>1.8</v>
      </c>
      <c r="I38" s="11"/>
    </row>
    <row r="39" spans="2:9" x14ac:dyDescent="0.35">
      <c r="B39" t="s">
        <v>48</v>
      </c>
      <c r="C39" s="11">
        <v>1473333333.3333333</v>
      </c>
      <c r="D39" s="25">
        <v>1.5</v>
      </c>
      <c r="I39" s="11"/>
    </row>
    <row r="40" spans="2:9" x14ac:dyDescent="0.35">
      <c r="B40" t="s">
        <v>51</v>
      </c>
      <c r="C40" s="11">
        <v>1503333333.3333333</v>
      </c>
      <c r="D40" s="25">
        <v>1.5</v>
      </c>
      <c r="I40" s="11"/>
    </row>
    <row r="41" spans="2:9" x14ac:dyDescent="0.35">
      <c r="B41" t="s">
        <v>46</v>
      </c>
      <c r="C41" s="11">
        <v>2656666666.6666665</v>
      </c>
      <c r="D41" s="25">
        <v>2.7</v>
      </c>
      <c r="I41" s="11"/>
    </row>
    <row r="42" spans="2:9" x14ac:dyDescent="0.35">
      <c r="B42" t="s">
        <v>49</v>
      </c>
      <c r="C42" s="11">
        <v>3576666666.6666665</v>
      </c>
      <c r="D42" s="25">
        <v>3.6</v>
      </c>
      <c r="I42" s="11"/>
    </row>
    <row r="43" spans="2:9" x14ac:dyDescent="0.35">
      <c r="B43" t="s">
        <v>52</v>
      </c>
      <c r="C43" s="11">
        <v>1300000000</v>
      </c>
      <c r="D43" s="25">
        <v>1.3</v>
      </c>
      <c r="I43" s="11"/>
    </row>
    <row r="44" spans="2:9" x14ac:dyDescent="0.35">
      <c r="B44" t="s">
        <v>47</v>
      </c>
      <c r="C44" s="11">
        <v>1093333333.3333333</v>
      </c>
      <c r="D44" s="25">
        <v>1.1000000000000001</v>
      </c>
      <c r="I44" s="11"/>
    </row>
    <row r="45" spans="2:9" x14ac:dyDescent="0.35">
      <c r="B45" t="s">
        <v>50</v>
      </c>
      <c r="C45" s="11">
        <v>773333333.33333337</v>
      </c>
      <c r="D45" s="25">
        <v>0.8</v>
      </c>
      <c r="I45" s="11"/>
    </row>
    <row r="46" spans="2:9" ht="15" thickBot="1" x14ac:dyDescent="0.4">
      <c r="B46" t="s">
        <v>53</v>
      </c>
      <c r="C46" s="11">
        <v>360000000</v>
      </c>
      <c r="D46" s="75">
        <v>0.4</v>
      </c>
      <c r="I46" s="11"/>
    </row>
    <row r="47" spans="2:9" x14ac:dyDescent="0.35">
      <c r="I47" s="11"/>
    </row>
    <row r="48" spans="2:9" x14ac:dyDescent="0.35">
      <c r="I48" s="11"/>
    </row>
    <row r="49" spans="2:12" x14ac:dyDescent="0.35">
      <c r="I49" s="11"/>
    </row>
    <row r="50" spans="2:12" x14ac:dyDescent="0.35">
      <c r="I50" s="11"/>
    </row>
    <row r="51" spans="2:12" x14ac:dyDescent="0.35">
      <c r="I51" s="11"/>
    </row>
    <row r="52" spans="2:12" x14ac:dyDescent="0.35">
      <c r="I52" s="11"/>
    </row>
    <row r="53" spans="2:12" x14ac:dyDescent="0.35">
      <c r="I53" s="11"/>
    </row>
    <row r="54" spans="2:12" x14ac:dyDescent="0.35">
      <c r="I54" s="11"/>
    </row>
    <row r="55" spans="2:12" x14ac:dyDescent="0.35">
      <c r="I55" s="11"/>
    </row>
    <row r="56" spans="2:12" x14ac:dyDescent="0.35">
      <c r="I56" s="11"/>
    </row>
    <row r="57" spans="2:12" x14ac:dyDescent="0.35">
      <c r="I57" s="11"/>
    </row>
    <row r="59" spans="2:12" x14ac:dyDescent="0.35">
      <c r="C59" s="11" t="s">
        <v>219</v>
      </c>
      <c r="D59" s="11" t="s">
        <v>220</v>
      </c>
      <c r="E59" s="11" t="s">
        <v>221</v>
      </c>
      <c r="K59" t="s">
        <v>45</v>
      </c>
      <c r="L59">
        <v>1.8</v>
      </c>
    </row>
    <row r="60" spans="2:12" x14ac:dyDescent="0.35">
      <c r="B60" t="s">
        <v>216</v>
      </c>
      <c r="C60" s="26">
        <f>L59</f>
        <v>1.8</v>
      </c>
      <c r="D60" s="26">
        <f>L62</f>
        <v>1.5</v>
      </c>
      <c r="E60" s="26">
        <f>L65</f>
        <v>1.5</v>
      </c>
      <c r="G60" t="s">
        <v>63</v>
      </c>
      <c r="H60">
        <v>9</v>
      </c>
      <c r="K60" t="s">
        <v>48</v>
      </c>
      <c r="L60">
        <v>2.6</v>
      </c>
    </row>
    <row r="61" spans="2:12" x14ac:dyDescent="0.35">
      <c r="B61" t="s">
        <v>217</v>
      </c>
      <c r="C61" s="26">
        <f>L60</f>
        <v>2.6</v>
      </c>
      <c r="D61" s="26">
        <f>L63</f>
        <v>3.6</v>
      </c>
      <c r="E61" s="26">
        <f>L66</f>
        <v>1.3</v>
      </c>
      <c r="G61" t="s">
        <v>64</v>
      </c>
      <c r="H61">
        <v>3</v>
      </c>
      <c r="K61" t="s">
        <v>51</v>
      </c>
      <c r="L61">
        <v>1.6</v>
      </c>
    </row>
    <row r="62" spans="2:12" x14ac:dyDescent="0.35">
      <c r="B62" t="s">
        <v>218</v>
      </c>
      <c r="C62" s="26">
        <f>L61</f>
        <v>1.6</v>
      </c>
      <c r="D62" s="26">
        <f>L64</f>
        <v>0.7</v>
      </c>
      <c r="E62" s="26">
        <f>L67</f>
        <v>0.4</v>
      </c>
      <c r="K62" t="s">
        <v>46</v>
      </c>
      <c r="L62">
        <v>1.5</v>
      </c>
    </row>
    <row r="63" spans="2:12" x14ac:dyDescent="0.35">
      <c r="C63"/>
      <c r="D63"/>
      <c r="E63"/>
      <c r="F63"/>
      <c r="G63"/>
      <c r="H63"/>
      <c r="K63" t="s">
        <v>49</v>
      </c>
      <c r="L63">
        <v>3.6</v>
      </c>
    </row>
    <row r="64" spans="2:12" x14ac:dyDescent="0.35">
      <c r="B64" t="s">
        <v>58</v>
      </c>
      <c r="C64" s="30">
        <f>(F12^2)/(H60*H61)</f>
        <v>3.8425337037037036E+19</v>
      </c>
      <c r="D64"/>
      <c r="E64"/>
      <c r="F64"/>
      <c r="G64"/>
      <c r="H64"/>
      <c r="K64" t="s">
        <v>52</v>
      </c>
      <c r="L64">
        <v>0.7</v>
      </c>
    </row>
    <row r="65" spans="2:12" x14ac:dyDescent="0.35">
      <c r="B65" t="s">
        <v>59</v>
      </c>
      <c r="C65" s="30">
        <f>SUMSQ(C3:E11)-C64</f>
        <v>9.4600262962962956E+19</v>
      </c>
      <c r="D65"/>
      <c r="E65"/>
      <c r="F65"/>
      <c r="G65"/>
      <c r="H65"/>
      <c r="K65" t="s">
        <v>47</v>
      </c>
      <c r="L65">
        <v>1.5</v>
      </c>
    </row>
    <row r="66" spans="2:12" x14ac:dyDescent="0.35">
      <c r="B66" t="s">
        <v>60</v>
      </c>
      <c r="C66" s="30">
        <f>SUMSQ(C12:E12)/H60-C64</f>
        <v>3.734935185185185E+19</v>
      </c>
      <c r="D66"/>
      <c r="E66"/>
      <c r="F66"/>
      <c r="G66"/>
      <c r="H66"/>
      <c r="K66" t="s">
        <v>50</v>
      </c>
      <c r="L66">
        <v>1.3</v>
      </c>
    </row>
    <row r="67" spans="2:12" x14ac:dyDescent="0.35">
      <c r="B67" t="s">
        <v>61</v>
      </c>
      <c r="C67" s="30">
        <f>(SUMSQ(F3:F11)/H61)-C64</f>
        <v>1.7368896296296301E+19</v>
      </c>
      <c r="D67"/>
      <c r="E67"/>
      <c r="F67"/>
      <c r="G67"/>
      <c r="H67"/>
      <c r="K67" t="s">
        <v>53</v>
      </c>
      <c r="L67">
        <v>0.4</v>
      </c>
    </row>
    <row r="68" spans="2:12" x14ac:dyDescent="0.35">
      <c r="B68" t="s">
        <v>62</v>
      </c>
      <c r="C68">
        <f>C65-C66-C67</f>
        <v>3.9882014814814806E+19</v>
      </c>
      <c r="D68"/>
      <c r="E68"/>
      <c r="F68"/>
      <c r="G68"/>
      <c r="H68"/>
    </row>
    <row r="69" spans="2:12" x14ac:dyDescent="0.35">
      <c r="C69"/>
      <c r="D69"/>
      <c r="E69"/>
      <c r="F69"/>
      <c r="G69"/>
      <c r="H69"/>
    </row>
    <row r="70" spans="2:12" x14ac:dyDescent="0.35">
      <c r="B70" t="s">
        <v>91</v>
      </c>
      <c r="C70"/>
      <c r="D70"/>
      <c r="E70"/>
      <c r="F70"/>
      <c r="G70"/>
      <c r="H70"/>
    </row>
    <row r="71" spans="2:12" x14ac:dyDescent="0.35">
      <c r="B71" t="s">
        <v>41</v>
      </c>
      <c r="C71" t="s">
        <v>69</v>
      </c>
      <c r="D71" t="s">
        <v>70</v>
      </c>
      <c r="E71" t="s">
        <v>71</v>
      </c>
      <c r="F71" t="s">
        <v>54</v>
      </c>
      <c r="G71" t="s">
        <v>93</v>
      </c>
      <c r="H71"/>
    </row>
    <row r="72" spans="2:12" x14ac:dyDescent="0.35">
      <c r="B72" t="s">
        <v>65</v>
      </c>
      <c r="C72" s="11">
        <f>F3</f>
        <v>4040000000</v>
      </c>
      <c r="D72" s="11">
        <f>F4</f>
        <v>4150000000</v>
      </c>
      <c r="E72" s="11">
        <f>F5</f>
        <v>3280000000</v>
      </c>
      <c r="F72" s="11">
        <f>SUM(Table4778[[#This Row],[S1]:[S3]])</f>
        <v>11470000000</v>
      </c>
      <c r="G72" s="11">
        <f>AVERAGE(Table4778[[#This Row],[S1]:[S3]])</f>
        <v>3823333333.3333335</v>
      </c>
      <c r="H72"/>
    </row>
    <row r="73" spans="2:12" x14ac:dyDescent="0.35">
      <c r="B73" t="s">
        <v>66</v>
      </c>
      <c r="C73" s="11">
        <f>F6</f>
        <v>3560000000</v>
      </c>
      <c r="D73" s="11">
        <f>F7</f>
        <v>9630000000</v>
      </c>
      <c r="E73" s="11">
        <f>F8</f>
        <v>1910000000</v>
      </c>
      <c r="F73" s="11">
        <f>SUM(Table4778[[#This Row],[S1]:[S3]])</f>
        <v>15100000000</v>
      </c>
      <c r="G73" s="11">
        <f>AVERAGE(Table4778[[#This Row],[S1]:[S3]])</f>
        <v>5033333333.333333</v>
      </c>
      <c r="H73"/>
    </row>
    <row r="74" spans="2:12" x14ac:dyDescent="0.35">
      <c r="B74" t="s">
        <v>67</v>
      </c>
      <c r="C74" s="11">
        <f>F9</f>
        <v>3100000000</v>
      </c>
      <c r="D74" s="11">
        <f>F10</f>
        <v>2040000000</v>
      </c>
      <c r="E74" s="11">
        <f>F11</f>
        <v>500000000</v>
      </c>
      <c r="F74" s="11">
        <f>SUM(Table4778[[#This Row],[S1]:[S3]])</f>
        <v>5640000000</v>
      </c>
      <c r="G74" s="11">
        <f>AVERAGE(Table4778[[#This Row],[S1]:[S3]])</f>
        <v>1880000000</v>
      </c>
      <c r="H74"/>
    </row>
    <row r="75" spans="2:12" x14ac:dyDescent="0.35">
      <c r="B75" t="s">
        <v>54</v>
      </c>
      <c r="C75" s="11">
        <f>SUM(C72:C74)</f>
        <v>10700000000</v>
      </c>
      <c r="D75" s="11">
        <f t="shared" ref="D75:F75" si="32">SUM(D72:D74)</f>
        <v>15820000000</v>
      </c>
      <c r="E75" s="11">
        <f t="shared" si="32"/>
        <v>5690000000</v>
      </c>
      <c r="F75" s="11">
        <f t="shared" si="32"/>
        <v>32210000000</v>
      </c>
      <c r="H75"/>
    </row>
    <row r="76" spans="2:12" x14ac:dyDescent="0.35">
      <c r="B76" t="s">
        <v>93</v>
      </c>
      <c r="C76" s="32">
        <f>AVERAGE(C72:C74)</f>
        <v>3566666666.6666665</v>
      </c>
      <c r="D76" s="32">
        <f t="shared" ref="D76:E76" si="33">AVERAGE(D72:D74)</f>
        <v>5273333333.333333</v>
      </c>
      <c r="E76" s="32">
        <f t="shared" si="33"/>
        <v>1896666666.6666667</v>
      </c>
      <c r="H76"/>
    </row>
    <row r="77" spans="2:12" x14ac:dyDescent="0.35">
      <c r="C77"/>
      <c r="D77"/>
      <c r="E77"/>
      <c r="F77"/>
      <c r="G77"/>
      <c r="H77"/>
    </row>
    <row r="78" spans="2:12" x14ac:dyDescent="0.35">
      <c r="B78" t="s">
        <v>226</v>
      </c>
      <c r="C78"/>
      <c r="D78" s="30">
        <f>(((F72^2)+(F73^2)+(F74^2))/H60)-C64</f>
        <v>5.0613851851851858E+18</v>
      </c>
      <c r="E78" s="30"/>
      <c r="F78"/>
      <c r="G78"/>
      <c r="H78"/>
    </row>
    <row r="79" spans="2:12" x14ac:dyDescent="0.35">
      <c r="B79" t="s">
        <v>227</v>
      </c>
      <c r="C79"/>
      <c r="D79" s="30">
        <f>(((C75^2)+(D75^2)+(E75^2))/H60)-C64</f>
        <v>5.7011629629629645E+18</v>
      </c>
      <c r="E79"/>
      <c r="F79"/>
      <c r="G79"/>
      <c r="H79"/>
    </row>
    <row r="80" spans="2:12" x14ac:dyDescent="0.35">
      <c r="B80" t="s">
        <v>228</v>
      </c>
      <c r="C80"/>
      <c r="D80" s="30">
        <f>C67-D78-D79</f>
        <v>6.6063481481481503E+18</v>
      </c>
      <c r="E80"/>
      <c r="F80"/>
      <c r="G80"/>
      <c r="H80"/>
    </row>
    <row r="81" spans="2:9" x14ac:dyDescent="0.35">
      <c r="C81"/>
      <c r="D81"/>
      <c r="E81"/>
      <c r="F81"/>
      <c r="G81"/>
      <c r="H81"/>
    </row>
    <row r="82" spans="2:9" x14ac:dyDescent="0.35">
      <c r="C82"/>
      <c r="D82"/>
      <c r="E82"/>
      <c r="F82"/>
      <c r="G82"/>
      <c r="H82"/>
    </row>
    <row r="83" spans="2:9" x14ac:dyDescent="0.35">
      <c r="B83" t="s">
        <v>74</v>
      </c>
      <c r="C83" t="s">
        <v>77</v>
      </c>
      <c r="D83" t="s">
        <v>78</v>
      </c>
      <c r="E83" t="s">
        <v>79</v>
      </c>
      <c r="F83" t="s">
        <v>80</v>
      </c>
      <c r="G83" t="s">
        <v>81</v>
      </c>
      <c r="H83" t="s">
        <v>82</v>
      </c>
      <c r="I83" t="s">
        <v>83</v>
      </c>
    </row>
    <row r="84" spans="2:9" x14ac:dyDescent="0.35">
      <c r="B84" t="s">
        <v>95</v>
      </c>
      <c r="C84">
        <v>2</v>
      </c>
      <c r="D84" s="11">
        <f t="shared" ref="D84" si="34">C66</f>
        <v>3.734935185185185E+19</v>
      </c>
      <c r="E84" s="11">
        <f t="shared" ref="E84:E90" si="35">D84/C84</f>
        <v>1.8674675925925925E+19</v>
      </c>
      <c r="F84" s="27">
        <f>E84/E89</f>
        <v>7.4919689038333823</v>
      </c>
      <c r="G84" s="27">
        <f t="shared" ref="G84:G85" si="36">FINV(0.05,C84,C89)</f>
        <v>3.6337234675916301</v>
      </c>
      <c r="H84" s="27">
        <f t="shared" ref="H84:H85" si="37">FINV(0.01,C84,C89)</f>
        <v>6.2262352803113821</v>
      </c>
      <c r="I84" t="str">
        <f>IF(F84&lt;G84,"tidak berbeda nyata","berbeda nyata")</f>
        <v>berbeda nyata</v>
      </c>
    </row>
    <row r="85" spans="2:9" x14ac:dyDescent="0.35">
      <c r="B85" t="s">
        <v>41</v>
      </c>
      <c r="C85">
        <v>8</v>
      </c>
      <c r="D85" s="11">
        <f>C67</f>
        <v>1.7368896296296301E+19</v>
      </c>
      <c r="E85" s="11">
        <f t="shared" si="35"/>
        <v>2.1711120370370376E+18</v>
      </c>
      <c r="F85" s="27">
        <f>E85/E89</f>
        <v>0.87101398346827497</v>
      </c>
      <c r="G85" s="27">
        <f t="shared" si="36"/>
        <v>2.3205272350337482</v>
      </c>
      <c r="H85" s="27">
        <f t="shared" si="37"/>
        <v>3.2883985212388325</v>
      </c>
      <c r="I85" t="str">
        <f t="shared" ref="I85:I88" si="38">IF(F85&lt;G85,"tidak berbeda nyata","berbeda nyata")</f>
        <v>tidak berbeda nyata</v>
      </c>
    </row>
    <row r="86" spans="2:9" x14ac:dyDescent="0.35">
      <c r="B86" t="s">
        <v>75</v>
      </c>
      <c r="C86">
        <v>2</v>
      </c>
      <c r="D86" s="11">
        <f>D78</f>
        <v>5.0613851851851858E+18</v>
      </c>
      <c r="E86" s="11">
        <f t="shared" si="35"/>
        <v>2.5306925925925929E+18</v>
      </c>
      <c r="F86" s="27">
        <f>E86/E89</f>
        <v>1.0152717125625366</v>
      </c>
      <c r="G86" s="27">
        <f>FINV(0.05,C86,C89)</f>
        <v>3.6337234675916301</v>
      </c>
      <c r="H86" s="27">
        <f>FINV(0.01,C86,C89)</f>
        <v>6.2262352803113821</v>
      </c>
      <c r="I86" t="str">
        <f t="shared" si="38"/>
        <v>tidak berbeda nyata</v>
      </c>
    </row>
    <row r="87" spans="2:9" x14ac:dyDescent="0.35">
      <c r="B87" t="s">
        <v>76</v>
      </c>
      <c r="C87">
        <v>2</v>
      </c>
      <c r="D87" s="11">
        <f>D79</f>
        <v>5.7011629629629645E+18</v>
      </c>
      <c r="E87" s="11">
        <f t="shared" si="35"/>
        <v>2.8505814814814822E+18</v>
      </c>
      <c r="F87" s="27">
        <f>E87/E89</f>
        <v>1.1436058061630683</v>
      </c>
      <c r="G87" s="27">
        <f>FINV(0.05,C87,C89)</f>
        <v>3.6337234675916301</v>
      </c>
      <c r="H87" s="27">
        <f>FINV(0.01,C87,C89)</f>
        <v>6.2262352803113821</v>
      </c>
      <c r="I87" t="str">
        <f t="shared" si="38"/>
        <v>tidak berbeda nyata</v>
      </c>
    </row>
    <row r="88" spans="2:9" x14ac:dyDescent="0.35">
      <c r="B88" t="s">
        <v>98</v>
      </c>
      <c r="C88">
        <v>4</v>
      </c>
      <c r="D88" s="11">
        <f>D80</f>
        <v>6.6063481481481503E+18</v>
      </c>
      <c r="E88" s="11">
        <f t="shared" si="35"/>
        <v>1.6515870370370376E+18</v>
      </c>
      <c r="F88" s="27">
        <f>E88/E89</f>
        <v>0.66258920757374751</v>
      </c>
      <c r="G88" s="27">
        <f>FINV(0.05,C88,C89)</f>
        <v>3.0069172799243447</v>
      </c>
      <c r="H88" s="27">
        <f>FINV(0.01,C88,C89)</f>
        <v>4.772577999723211</v>
      </c>
      <c r="I88" t="str">
        <f t="shared" si="38"/>
        <v>tidak berbeda nyata</v>
      </c>
    </row>
    <row r="89" spans="2:9" x14ac:dyDescent="0.35">
      <c r="B89" t="s">
        <v>96</v>
      </c>
      <c r="C89">
        <v>16</v>
      </c>
      <c r="D89" s="11">
        <f>C68</f>
        <v>3.9882014814814806E+19</v>
      </c>
      <c r="E89" s="11">
        <f t="shared" si="35"/>
        <v>2.4926259259259254E+18</v>
      </c>
    </row>
    <row r="90" spans="2:9" x14ac:dyDescent="0.35">
      <c r="B90" t="s">
        <v>54</v>
      </c>
      <c r="C90">
        <v>26</v>
      </c>
      <c r="D90" s="11">
        <f>C65</f>
        <v>9.4600262962962956E+19</v>
      </c>
      <c r="E90" s="11">
        <f t="shared" si="35"/>
        <v>3.638471652421652E+18</v>
      </c>
    </row>
    <row r="91" spans="2:9" x14ac:dyDescent="0.35">
      <c r="C91"/>
      <c r="D91"/>
      <c r="E91"/>
      <c r="F91"/>
      <c r="G91"/>
      <c r="H91"/>
    </row>
  </sheetData>
  <sortState xmlns:xlrd2="http://schemas.microsoft.com/office/spreadsheetml/2017/richdata2" ref="B38:D46">
    <sortCondition ref="B38:B46"/>
  </sortState>
  <mergeCells count="74">
    <mergeCell ref="AD15:AD17"/>
    <mergeCell ref="AE15:AE17"/>
    <mergeCell ref="M18:M20"/>
    <mergeCell ref="Q18:Q20"/>
    <mergeCell ref="R18:R20"/>
    <mergeCell ref="T18:T20"/>
    <mergeCell ref="X18:X20"/>
    <mergeCell ref="Y18:Y20"/>
    <mergeCell ref="Z18:Z20"/>
    <mergeCell ref="AA18:AA20"/>
    <mergeCell ref="AB18:AB20"/>
    <mergeCell ref="AC18:AC20"/>
    <mergeCell ref="AD18:AD20"/>
    <mergeCell ref="AE18:AE20"/>
    <mergeCell ref="X15:X17"/>
    <mergeCell ref="Y15:Y17"/>
    <mergeCell ref="Z15:Z17"/>
    <mergeCell ref="AA15:AA17"/>
    <mergeCell ref="AB15:AB17"/>
    <mergeCell ref="AC9:AC11"/>
    <mergeCell ref="Z9:Z11"/>
    <mergeCell ref="AA9:AA11"/>
    <mergeCell ref="AB9:AB11"/>
    <mergeCell ref="AC15:AC17"/>
    <mergeCell ref="AD9:AD11"/>
    <mergeCell ref="AE9:AE11"/>
    <mergeCell ref="M12:M14"/>
    <mergeCell ref="Q12:Q14"/>
    <mergeCell ref="R12:R14"/>
    <mergeCell ref="T12:T14"/>
    <mergeCell ref="X12:X14"/>
    <mergeCell ref="Y12:Y14"/>
    <mergeCell ref="Z12:Z14"/>
    <mergeCell ref="AA12:AA14"/>
    <mergeCell ref="AB12:AB14"/>
    <mergeCell ref="AC12:AC14"/>
    <mergeCell ref="AD12:AD14"/>
    <mergeCell ref="AE12:AE14"/>
    <mergeCell ref="X9:X11"/>
    <mergeCell ref="Y9:Y11"/>
    <mergeCell ref="AC3:AC5"/>
    <mergeCell ref="AD3:AD5"/>
    <mergeCell ref="AE3:AE5"/>
    <mergeCell ref="M6:M8"/>
    <mergeCell ref="Q6:Q8"/>
    <mergeCell ref="R6:R8"/>
    <mergeCell ref="T6:T8"/>
    <mergeCell ref="X6:X8"/>
    <mergeCell ref="Y6:Y8"/>
    <mergeCell ref="Z6:Z8"/>
    <mergeCell ref="AA6:AA8"/>
    <mergeCell ref="AB6:AB8"/>
    <mergeCell ref="AC6:AC8"/>
    <mergeCell ref="AD6:AD8"/>
    <mergeCell ref="AE6:AE8"/>
    <mergeCell ref="X3:X5"/>
    <mergeCell ref="Y3:Y5"/>
    <mergeCell ref="Z3:Z5"/>
    <mergeCell ref="AA3:AA5"/>
    <mergeCell ref="AB3:AB5"/>
    <mergeCell ref="M2:P2"/>
    <mergeCell ref="T2:W2"/>
    <mergeCell ref="M3:M5"/>
    <mergeCell ref="Q3:Q5"/>
    <mergeCell ref="R3:R5"/>
    <mergeCell ref="T3:T5"/>
    <mergeCell ref="M9:M11"/>
    <mergeCell ref="Q9:Q11"/>
    <mergeCell ref="R9:R11"/>
    <mergeCell ref="T9:T11"/>
    <mergeCell ref="M15:M17"/>
    <mergeCell ref="Q15:Q17"/>
    <mergeCell ref="R15:R17"/>
    <mergeCell ref="T15:T17"/>
  </mergeCells>
  <phoneticPr fontId="2" type="noConversion"/>
  <conditionalFormatting sqref="C23:E25">
    <cfRule type="colorScale" priority="4">
      <colorScale>
        <cfvo type="min"/>
        <cfvo type="max"/>
        <color rgb="FFFCFCFF"/>
        <color rgb="FFF8696B"/>
      </colorScale>
    </cfRule>
  </conditionalFormatting>
  <conditionalFormatting sqref="C60:E62"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R3:R5">
    <cfRule type="cellIs" priority="1" operator="equal">
      <formula>#REF!</formula>
    </cfRule>
  </conditionalFormatting>
  <conditionalFormatting sqref="R3:S11">
    <cfRule type="colorScale" priority="3">
      <colorScale>
        <cfvo type="min"/>
        <cfvo type="max"/>
        <color rgb="FF63BE7B"/>
        <color rgb="FFFFEF9C"/>
      </colorScale>
    </cfRule>
  </conditionalFormatting>
  <conditionalFormatting sqref="R12:S20">
    <cfRule type="colorScale" priority="2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  <pageSetup orientation="portrait" r:id="rId1"/>
  <tableParts count="5">
    <tablePart r:id="rId2"/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6 0 2 v W r Z 1 Z v W n A A A A 9 w A A A B I A H A B D b 2 5 m a W c v U G F j a 2 F n Z S 5 4 b W w g o h g A K K A U A A A A A A A A A A A A A A A A A A A A A A A A A A A A h Y 8 x D o I w G I W v Q r r T l p o Q I a U M u p h I Y m J i X J t a o R F + D C 2 W u z l 4 J K 8 g R l E 3 x / e 9 b 3 j v f r 3 x f G j q 4 K I 7 a 1 r I U I Q p C j S o 9 m C g z F D v j u E c 5 Y J v p D r J U g e j D D Y d 7 C F D l X P n l B D v P f Y z 3 H Y l Y Z R G Z F + s t 6 r S j U Q f 2 f y X Q w P W S V A a C b 5 7 j R E M J z G O k j h m m H I y U V 4 Y + B p s H P x s f y B f 9 L X r O y 0 0 h K s l J 1 P k 5 H 1 C P A B Q S w M E F A A C A A g A 6 0 2 v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t N r 1 o o i k e 4 D g A A A B E A A A A T A B w A R m 9 y b X V s Y X M v U 2 V j d G l v b j E u b S C i G A A o o B Q A A A A A A A A A A A A A A A A A A A A A A A A A A A A r T k 0 u y c z P U w i G 0 I b W A F B L A Q I t A B Q A A g A I A O t N r 1 q 2 d W b 1 p w A A A P c A A A A S A A A A A A A A A A A A A A A A A A A A A A B D b 2 5 m a W c v U G F j a 2 F n Z S 5 4 b W x Q S w E C L Q A U A A I A C A D r T a 9 a D 8 r p q 6 Q A A A D p A A A A E w A A A A A A A A A A A A A A A A D z A A A A W 0 N v b n R l b n R f V H l w Z X N d L n h t b F B L A Q I t A B Q A A g A I A O t N r 1 o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R 3 A l 4 O H X 1 Q 6 U S S 4 6 v Z N n f A A A A A A I A A A A A A B B m A A A A A Q A A I A A A A A z A Y I Q V 4 J 1 s G 6 C i o k 3 x Y u O M f t D 1 p x w b o q S 6 o N R w 6 Y / 6 A A A A A A 6 A A A A A A g A A I A A A A D H 0 3 v K 5 k S 2 d / q t K c O W 1 Y 8 Z X t 8 Q o H q D I 2 6 g v f t N V 0 w b T U A A A A E H 5 C B 0 u G H h H t 3 B k m V c k Y J 5 8 + y Y d j s b k 6 m N 0 T t 1 + 8 O G c F s E N V J 6 l W H B X Z N x F T k n + w s W z y U 0 3 L q u P d m p n D B k g J o 4 4 e P b k C X V P J 6 5 S S W 2 H O c o 7 Q A A A A D d u 9 F l U Y d F x e P R P 5 K p W F w d z Y E + x R z I M b 2 C h B v 6 6 C L + L O F r B N M c + n A O P D h 1 O d v y 2 1 x 9 d B h t 5 7 A D 6 Q B d E i p 0 H y h w = < / D a t a M a s h u p > 
</file>

<file path=customXml/itemProps1.xml><?xml version="1.0" encoding="utf-8"?>
<ds:datastoreItem xmlns:ds="http://schemas.openxmlformats.org/officeDocument/2006/customXml" ds:itemID="{43EBD20E-9483-41C0-81BA-2A25B01991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Uji Perlakuan Terbaik</vt:lpstr>
      <vt:lpstr>Viskositas</vt:lpstr>
      <vt:lpstr>TPT</vt:lpstr>
      <vt:lpstr>Total Asam</vt:lpstr>
      <vt:lpstr>pH</vt:lpstr>
      <vt:lpstr>Warna L</vt:lpstr>
      <vt:lpstr>a</vt:lpstr>
      <vt:lpstr>b</vt:lpstr>
      <vt:lpstr>TPC</vt:lpstr>
      <vt:lpstr>Warna</vt:lpstr>
      <vt:lpstr>Aroma</vt:lpstr>
      <vt:lpstr>Rasa</vt:lpstr>
      <vt:lpstr>Tekstur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sigit wahyu</dc:creator>
  <cp:lastModifiedBy>sigit wahyu</cp:lastModifiedBy>
  <dcterms:created xsi:type="dcterms:W3CDTF">2025-03-15T05:10:52Z</dcterms:created>
  <dcterms:modified xsi:type="dcterms:W3CDTF">2025-08-27T04:11:44Z</dcterms:modified>
</cp:coreProperties>
</file>